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Раскрытие инфы на сайте\19д\2023\"/>
    </mc:Choice>
  </mc:AlternateContent>
  <xr:revisionPtr revIDLastSave="0" documentId="13_ncr:1_{09A1E50A-255C-4FE2-AEFB-A3104871B863}" xr6:coauthVersionLast="47" xr6:coauthVersionMax="47" xr10:uidLastSave="{00000000-0000-0000-0000-000000000000}"/>
  <bookViews>
    <workbookView xWindow="-120" yWindow="-120" windowWidth="29040" windowHeight="15840" firstSheet="8" activeTab="8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state="hidden" r:id="rId4"/>
    <sheet name="май" sheetId="6" state="hidden" r:id="rId5"/>
    <sheet name="июнь" sheetId="7" state="hidden" r:id="rId6"/>
    <sheet name="июль" sheetId="8" state="hidden" r:id="rId7"/>
    <sheet name="август" sheetId="9" state="hidden" r:id="rId8"/>
    <sheet name="сентябрь" sheetId="10" r:id="rId9"/>
    <sheet name="октябрь" sheetId="11" state="hidden" r:id="rId10"/>
    <sheet name="ноябрь" sheetId="12" state="hidden" r:id="rId11"/>
    <sheet name="декабрь" sheetId="13" state="hidden" r:id="rId12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11">декабрь!$A$1:$K$21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0">ноябрь!$A$1:$K$21</definedName>
    <definedName name="_xlnm.Print_Area" localSheetId="9">октябрь!$A$1:$K$21</definedName>
    <definedName name="_xlnm.Print_Area" localSheetId="8">сентябрь!$A$1:$K$21</definedName>
    <definedName name="_xlnm.Print_Area" localSheetId="1">февраль!$A$1:$K$21</definedName>
    <definedName name="_xlnm.Print_Area" localSheetId="0">январь!$A$1:$K$21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0" l="1"/>
  <c r="M7" i="10" s="1"/>
  <c r="N7" i="10" s="1"/>
  <c r="I7" i="10"/>
  <c r="M7" i="9"/>
  <c r="N7" i="9"/>
  <c r="F8" i="10" l="1"/>
  <c r="F7" i="10"/>
  <c r="C8" i="10"/>
  <c r="C7" i="10"/>
  <c r="J11" i="10"/>
  <c r="G7" i="10" l="1"/>
  <c r="D7" i="10"/>
  <c r="J7" i="10"/>
  <c r="G11" i="10"/>
  <c r="D11" i="10"/>
  <c r="I7" i="9"/>
  <c r="F7" i="9"/>
  <c r="G7" i="9"/>
  <c r="C7" i="9"/>
  <c r="J7" i="9"/>
  <c r="D7" i="9"/>
  <c r="I7" i="8" l="1"/>
  <c r="F7" i="8"/>
  <c r="C7" i="8"/>
  <c r="I8" i="8"/>
  <c r="J7" i="8"/>
  <c r="G8" i="8"/>
  <c r="F8" i="8"/>
  <c r="G7" i="8"/>
  <c r="D7" i="8"/>
  <c r="C8" i="8"/>
  <c r="M7" i="7"/>
  <c r="I8" i="7"/>
  <c r="J7" i="7"/>
  <c r="G7" i="7"/>
  <c r="D7" i="7"/>
  <c r="I7" i="7"/>
  <c r="F7" i="7"/>
  <c r="C7" i="7"/>
  <c r="D7" i="5" l="1"/>
  <c r="D7" i="6" s="1"/>
  <c r="C7" i="4"/>
  <c r="C7" i="5" s="1"/>
  <c r="C7" i="6" s="1"/>
  <c r="J7" i="4"/>
  <c r="J7" i="5" s="1"/>
  <c r="J7" i="6" s="1"/>
  <c r="G7" i="4"/>
  <c r="G7" i="5" s="1"/>
  <c r="G7" i="6" s="1"/>
  <c r="D7" i="4"/>
  <c r="J7" i="3"/>
  <c r="C8" i="3"/>
  <c r="C8" i="4" s="1"/>
  <c r="C7" i="3"/>
  <c r="I8" i="2" l="1"/>
  <c r="I8" i="3" s="1"/>
  <c r="I8" i="4" s="1"/>
  <c r="F8" i="2"/>
  <c r="F8" i="3" s="1"/>
  <c r="F8" i="4" s="1"/>
  <c r="I7" i="2"/>
  <c r="I7" i="3" s="1"/>
  <c r="I7" i="4" s="1"/>
  <c r="F7" i="2"/>
  <c r="F7" i="3" s="1"/>
  <c r="F7" i="4" s="1"/>
  <c r="F7" i="5" s="1"/>
  <c r="F7" i="6" s="1"/>
  <c r="I7" i="5" l="1"/>
  <c r="M7" i="4"/>
  <c r="M7" i="3"/>
  <c r="I11" i="9"/>
  <c r="I11" i="10" s="1"/>
  <c r="I11" i="11" s="1"/>
  <c r="I11" i="12" s="1"/>
  <c r="I11" i="13" s="1"/>
  <c r="C11" i="9"/>
  <c r="C11" i="10" s="1"/>
  <c r="C11" i="11" s="1"/>
  <c r="C11" i="12" s="1"/>
  <c r="C11" i="13" s="1"/>
  <c r="F11" i="9"/>
  <c r="F11" i="10" s="1"/>
  <c r="F11" i="11" s="1"/>
  <c r="F11" i="12" s="1"/>
  <c r="F11" i="13" s="1"/>
  <c r="I7" i="6" l="1"/>
  <c r="J8" i="9"/>
  <c r="J8" i="10" s="1"/>
  <c r="J8" i="11" s="1"/>
  <c r="J8" i="12" s="1"/>
  <c r="J8" i="13" s="1"/>
  <c r="I8" i="5"/>
  <c r="I8" i="6" s="1"/>
  <c r="I8" i="9" s="1"/>
  <c r="I8" i="11" s="1"/>
  <c r="I8" i="12" s="1"/>
  <c r="I8" i="13" s="1"/>
  <c r="F8" i="5"/>
  <c r="F8" i="6" s="1"/>
  <c r="F7" i="11"/>
  <c r="F7" i="12" s="1"/>
  <c r="F7" i="13" s="1"/>
  <c r="C7" i="11"/>
  <c r="C7" i="12" s="1"/>
  <c r="C7" i="13" s="1"/>
  <c r="G11" i="9"/>
  <c r="G11" i="11" s="1"/>
  <c r="G11" i="12" s="1"/>
  <c r="G11" i="13" s="1"/>
  <c r="D8" i="9"/>
  <c r="D8" i="10" s="1"/>
  <c r="D8" i="11" s="1"/>
  <c r="D8" i="12" s="1"/>
  <c r="D8" i="13" s="1"/>
  <c r="C8" i="5"/>
  <c r="C8" i="6" s="1"/>
  <c r="C8" i="7" l="1"/>
  <c r="C8" i="9" s="1"/>
  <c r="C8" i="11" s="1"/>
  <c r="C8" i="12" s="1"/>
  <c r="C8" i="13" s="1"/>
  <c r="F8" i="9"/>
  <c r="F8" i="11" s="1"/>
  <c r="F8" i="12" s="1"/>
  <c r="F8" i="13" s="1"/>
  <c r="F8" i="7"/>
  <c r="M7" i="5"/>
  <c r="M7" i="6"/>
  <c r="G8" i="9"/>
  <c r="G8" i="10" s="1"/>
  <c r="G8" i="11" s="1"/>
  <c r="G8" i="12" s="1"/>
  <c r="G8" i="13" s="1"/>
  <c r="D11" i="4" l="1"/>
  <c r="D11" i="9" s="1"/>
  <c r="D11" i="11" s="1"/>
  <c r="D11" i="12" s="1"/>
  <c r="D11" i="13" s="1"/>
  <c r="I7" i="11" l="1"/>
  <c r="M7" i="2"/>
  <c r="N7" i="2"/>
  <c r="I7" i="12" l="1"/>
  <c r="N7" i="3"/>
  <c r="I7" i="13" l="1"/>
  <c r="N7" i="4"/>
  <c r="N7" i="5" l="1"/>
  <c r="N7" i="6" l="1"/>
  <c r="N7" i="7" l="1"/>
  <c r="J11" i="9" l="1"/>
  <c r="M7" i="8"/>
  <c r="N7" i="8" s="1"/>
  <c r="J11" i="11" l="1"/>
  <c r="J11" i="12" l="1"/>
  <c r="M7" i="11"/>
  <c r="N7" i="11" s="1"/>
  <c r="J11" i="13" l="1"/>
  <c r="M7" i="13" s="1"/>
  <c r="N7" i="13" s="1"/>
  <c r="M7" i="12"/>
  <c r="N7" i="12" s="1"/>
</calcChain>
</file>

<file path=xl/sharedStrings.xml><?xml version="1.0" encoding="utf-8"?>
<sst xmlns="http://schemas.openxmlformats.org/spreadsheetml/2006/main" count="348" uniqueCount="31">
  <si>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</si>
  <si>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</si>
  <si>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</si>
  <si>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</si>
  <si>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</si>
  <si>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</si>
  <si>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</si>
  <si>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</si>
  <si>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</si>
  <si>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</si>
  <si>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</si>
  <si>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</si>
  <si>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</si>
  <si>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</si>
  <si>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</si>
  <si>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</si>
  <si>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</si>
  <si>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</si>
  <si>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август 2022 года</t>
  </si>
  <si>
    <t>ИНФОРМАЦИЯ
об осуществлении технологического присоединения
по договорам, заключенным ООО ЭСК "Энергия"
за октябрь 2022 года</t>
  </si>
  <si>
    <t>ИНФОРМАЦИЯ
об осуществлении технологического присоединения
по договорам, заключенным ООО ЭСК "Энергия"
за ноябрь 2022 года</t>
  </si>
  <si>
    <t>ИНФОРМАЦИЯ
об осуществлении технологического присоединения
по договорам, заключенным ООО ЭСК "Энергия"
за декабрь 2022 года</t>
  </si>
  <si>
    <t>ИНФОРМАЦИЯ
об осуществлении технологического присоединения
по договорам, заключенным ООО ЭСК "Энергия"
за январь 2023 года</t>
  </si>
  <si>
    <t xml:space="preserve">Приложение N 4
к стандартам раскрытия информации
субъектами оптового и розничных
рынков электрической энергии
</t>
  </si>
  <si>
    <t>ИНФОРМАЦИЯ
об осуществлении технологического присоединения
по договорам, заключенным ООО ЭСК "Энергия"
за февраль 2023 года</t>
  </si>
  <si>
    <t>ИНФОРМАЦИЯ
об осуществлении технологического присоединения
по договорам, заключенным ООО ЭСК "Энергия"
за март 2023 года</t>
  </si>
  <si>
    <t>ИНФОРМАЦИЯ
об осуществлении технологического присоединения
по договорам, заключенным ООО ЭСК "Энергия"
за апрель 2023 года</t>
  </si>
  <si>
    <t>ИНФОРМАЦИЯ
об осуществлении технологического присоединения
по договорам, заключенным ООО ЭСК "Энергия"
за май 2023 года</t>
  </si>
  <si>
    <t>ИНФОРМАЦИЯ
об осуществлении технологического присоединения
по договорам, заключенным ООО ЭСК "Энергия"
за июнь 2023 года</t>
  </si>
  <si>
    <t>ИНФОРМАЦИЯ
об осуществлении технологического присоединения
по договорам, заключенным ООО ЭСК "Энергия"
за июль 2023 года</t>
  </si>
  <si>
    <t>ИНФОРМАЦИЯ
об осуществлении технологического присоединения
по договорам, заключенным ООО ЭСК "Энергия"
за сентябрь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</si>
</sst>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#,##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2"/>
    </xf>
    <xf numFmtId="0" fontId="5" fillId="0" borderId="2" xfId="1" applyBorder="1" applyAlignment="1">
      <alignment horizontal="left" vertical="center" wrapText="1" indent="2"/>
    </xf>
    <xf numFmtId="164" fontId="4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3" fillId="0" borderId="2" xfId="0" applyFont="1" applyBorder="1" applyAlignment="1">
      <alignment vertical="center" wrapText="1"/>
    </xf>
    <xf numFmtId="165" fontId="0" fillId="0" borderId="0" xfId="0" applyNumberFormat="1"/>
    <xf numFmtId="4" fontId="4" fillId="0" borderId="2" xfId="0" applyNumberFormat="1" applyFont="1" applyBorder="1" applyAlignment="1">
      <alignment vertical="center" wrapText="1"/>
    </xf>
    <xf numFmtId="4" fontId="0" fillId="0" borderId="0" xfId="0" applyNumberFormat="1"/>
    <xf numFmtId="166" fontId="0" fillId="0" borderId="0" xfId="0" applyNumberFormat="1"/>
    <xf numFmtId="0" fontId="2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1"/>
  <sheetViews>
    <sheetView zoomScaleNormal="100" zoomScaleSheetLayoutView="100" workbookViewId="0">
      <selection activeCell="C7" sqref="C7:C8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v>4</v>
      </c>
      <c r="D7" s="2"/>
      <c r="E7" s="2"/>
      <c r="F7" s="6">
        <f>48</f>
        <v>48</v>
      </c>
      <c r="G7" s="6"/>
      <c r="H7" s="2"/>
      <c r="I7" s="3">
        <f>72/1.2</f>
        <v>60</v>
      </c>
      <c r="J7" s="2"/>
      <c r="K7" s="2"/>
      <c r="M7" s="7">
        <f>I7+I8+J8+J11</f>
        <v>98.864966666666675</v>
      </c>
      <c r="N7">
        <f>M7*1.2</f>
        <v>118.63796000000001</v>
      </c>
    </row>
    <row r="8" spans="1:16" x14ac:dyDescent="0.25">
      <c r="A8" s="1">
        <v>2</v>
      </c>
      <c r="B8" s="2" t="s">
        <v>11</v>
      </c>
      <c r="C8" s="2">
        <v>2</v>
      </c>
      <c r="D8" s="2"/>
      <c r="E8" s="2"/>
      <c r="F8" s="6">
        <f>50</f>
        <v>50</v>
      </c>
      <c r="G8" s="6"/>
      <c r="H8" s="2"/>
      <c r="I8" s="3">
        <f>46.63796/1.2</f>
        <v>38.864966666666668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E6B5-3D80-4431-BA97-514CAAF89B3B}">
  <sheetPr>
    <pageSetUpPr fitToPage="1"/>
  </sheetPr>
  <dimension ref="A1:P21"/>
  <sheetViews>
    <sheetView view="pageBreakPreview" topLeftCell="D1" zoomScaleNormal="100" zoomScaleSheetLayoutView="100" workbookViewId="0">
      <selection activeCell="H14" sqref="H14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f>сентябрь!C7+9</f>
        <v>94</v>
      </c>
      <c r="D7" s="2"/>
      <c r="E7" s="2"/>
      <c r="F7" s="6">
        <f>сентябрь!F7+92.2</f>
        <v>1151.7</v>
      </c>
      <c r="G7" s="6"/>
      <c r="H7" s="2"/>
      <c r="I7" s="10">
        <f>сентябрь!I7+217.1/1.2</f>
        <v>2347.4333333333334</v>
      </c>
      <c r="J7" s="10"/>
      <c r="K7" s="2"/>
      <c r="M7" s="11">
        <f>I7+I8+J8+J11+I11</f>
        <v>2726.9983000000002</v>
      </c>
      <c r="N7" s="12">
        <f>M7*1.2</f>
        <v>3272.3979600000002</v>
      </c>
    </row>
    <row r="8" spans="1:16" x14ac:dyDescent="0.25">
      <c r="A8" s="1">
        <v>2</v>
      </c>
      <c r="B8" s="2" t="s">
        <v>11</v>
      </c>
      <c r="C8" s="2">
        <f>сентябрь!C8</f>
        <v>5</v>
      </c>
      <c r="D8" s="2">
        <f>сентябрь!D8</f>
        <v>0</v>
      </c>
      <c r="E8" s="2"/>
      <c r="F8" s="6">
        <f>сентябрь!F8</f>
        <v>210</v>
      </c>
      <c r="G8" s="6">
        <f>сентябрь!G8</f>
        <v>0</v>
      </c>
      <c r="H8" s="2"/>
      <c r="I8" s="10">
        <f>сентябрь!I8</f>
        <v>379.56496666666663</v>
      </c>
      <c r="J8" s="10">
        <f>сентябрь!J8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сентябрь!C11</f>
        <v>0</v>
      </c>
      <c r="D11" s="2">
        <f>сентябрь!D11</f>
        <v>0</v>
      </c>
      <c r="E11" s="2"/>
      <c r="F11" s="2">
        <f>сентябрь!F11</f>
        <v>0</v>
      </c>
      <c r="G11" s="6">
        <f>сентябрь!G11</f>
        <v>0</v>
      </c>
      <c r="H11" s="2"/>
      <c r="I11" s="10">
        <f>сентябрь!I11</f>
        <v>0</v>
      </c>
      <c r="J11" s="10">
        <f>сентябрь!J11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423EAEC-CB92-4D76-B99B-9FBFC43A9723}"/>
    <hyperlink ref="B10" location="Par2094" display="Par2094" xr:uid="{CB23AA63-A7A9-4C19-874A-EAE4DE50F08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26DA-D4AB-4889-BFF6-1A37A8A92E9F}">
  <sheetPr>
    <pageSetUpPr fitToPage="1"/>
  </sheetPr>
  <dimension ref="A1:P21"/>
  <sheetViews>
    <sheetView view="pageBreakPreview" topLeftCell="C1" zoomScaleNormal="100" zoomScaleSheetLayoutView="100" workbookViewId="0">
      <selection activeCell="N8" sqref="N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f>октябрь!C7+5</f>
        <v>99</v>
      </c>
      <c r="D7" s="2"/>
      <c r="E7" s="2"/>
      <c r="F7" s="6">
        <f>октябрь!F7+61</f>
        <v>1212.7</v>
      </c>
      <c r="G7" s="6"/>
      <c r="H7" s="2"/>
      <c r="I7" s="10">
        <f>октябрь!I7+138.55/1.2</f>
        <v>2462.8916666666669</v>
      </c>
      <c r="J7" s="10"/>
      <c r="K7" s="2"/>
      <c r="M7" s="11">
        <f>I7+I8+J8+J11+I11</f>
        <v>2936.8891083333338</v>
      </c>
      <c r="N7" s="12">
        <f>M7*1.2</f>
        <v>3524.2669300000002</v>
      </c>
    </row>
    <row r="8" spans="1:16" x14ac:dyDescent="0.25">
      <c r="A8" s="1">
        <v>2</v>
      </c>
      <c r="B8" s="2" t="s">
        <v>11</v>
      </c>
      <c r="C8" s="2">
        <f>октябрь!C8+2</f>
        <v>7</v>
      </c>
      <c r="D8" s="2">
        <f>октябрь!D8</f>
        <v>0</v>
      </c>
      <c r="E8" s="2"/>
      <c r="F8" s="6">
        <f>октябрь!F8+55</f>
        <v>265</v>
      </c>
      <c r="G8" s="6">
        <f>октябрь!G8</f>
        <v>0</v>
      </c>
      <c r="H8" s="2"/>
      <c r="I8" s="10">
        <f>октябрь!I8+113.31897/1.2</f>
        <v>473.99744166666665</v>
      </c>
      <c r="J8" s="10">
        <f>октябрь!J8</f>
        <v>0</v>
      </c>
      <c r="K8" s="2"/>
      <c r="N8" s="1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октябрь!C11</f>
        <v>0</v>
      </c>
      <c r="D11" s="2">
        <f>октябрь!D11</f>
        <v>0</v>
      </c>
      <c r="E11" s="2"/>
      <c r="F11" s="2">
        <f>октябрь!F11</f>
        <v>0</v>
      </c>
      <c r="G11" s="6">
        <f>октябрь!G11</f>
        <v>0</v>
      </c>
      <c r="H11" s="2"/>
      <c r="I11" s="10">
        <f>октябрь!I11</f>
        <v>0</v>
      </c>
      <c r="J11" s="10">
        <f>октябрь!J11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85F5936-A931-4B1E-B0FC-F30F4E23096B}"/>
    <hyperlink ref="B10" location="Par2094" display="Par2094" xr:uid="{0697E962-3AA2-4817-B505-DD24136D7E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4FD3-CB5E-4013-9D57-E5102EA38DE7}">
  <sheetPr>
    <pageSetUpPr fitToPage="1"/>
  </sheetPr>
  <dimension ref="A1:P21"/>
  <sheetViews>
    <sheetView view="pageBreakPreview" topLeftCell="A3" zoomScaleNormal="100" zoomScaleSheetLayoutView="100" workbookViewId="0">
      <selection activeCell="A18" sqref="A18:K1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hidden="1" customWidth="1"/>
    <col min="14" max="14" width="13.5703125" hidden="1" customWidth="1"/>
  </cols>
  <sheetData>
    <row r="1" spans="1:16" ht="81.75" customHeight="1" x14ac:dyDescent="0.2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f>ноябрь!C7+12</f>
        <v>111</v>
      </c>
      <c r="D7" s="2"/>
      <c r="E7" s="2"/>
      <c r="F7" s="6">
        <f>ноябрь!F7+180</f>
        <v>1392.7</v>
      </c>
      <c r="G7" s="6"/>
      <c r="H7" s="2"/>
      <c r="I7" s="10">
        <f>ноябрь!I7+357.15/1.2</f>
        <v>2760.5166666666669</v>
      </c>
      <c r="J7" s="10"/>
      <c r="K7" s="2"/>
      <c r="M7" s="11">
        <f>I7+I8+J8+J11+I11</f>
        <v>3496.325808333334</v>
      </c>
      <c r="N7" s="12">
        <f>M7*1.2</f>
        <v>4195.5909700000002</v>
      </c>
    </row>
    <row r="8" spans="1:16" x14ac:dyDescent="0.25">
      <c r="A8" s="1">
        <v>2</v>
      </c>
      <c r="B8" s="2" t="s">
        <v>11</v>
      </c>
      <c r="C8" s="2">
        <f>ноябрь!C8+1</f>
        <v>8</v>
      </c>
      <c r="D8" s="2">
        <f>ноябрь!D8</f>
        <v>0</v>
      </c>
      <c r="E8" s="2"/>
      <c r="F8" s="6">
        <f>ноябрь!F8+24</f>
        <v>289</v>
      </c>
      <c r="G8" s="6">
        <f>ноябрь!G8</f>
        <v>0</v>
      </c>
      <c r="H8" s="2"/>
      <c r="I8" s="10">
        <f>ноябрь!I8+72/1.2</f>
        <v>533.99744166666665</v>
      </c>
      <c r="J8" s="10">
        <f>ноябрь!J8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ноябрь!C11+2</f>
        <v>2</v>
      </c>
      <c r="D11" s="2">
        <f>ноябрь!D11</f>
        <v>0</v>
      </c>
      <c r="E11" s="2"/>
      <c r="F11" s="2">
        <f>ноябрь!F11+365</f>
        <v>365</v>
      </c>
      <c r="G11" s="6">
        <f>ноябрь!G11</f>
        <v>0</v>
      </c>
      <c r="H11" s="2"/>
      <c r="I11" s="10">
        <f>ноябрь!I11+242.17404/1.2</f>
        <v>201.8117</v>
      </c>
      <c r="J11" s="10">
        <f>ноябрь!J11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EBCB5F9-0F44-465E-917D-CA429D05CCD5}"/>
    <hyperlink ref="B10" location="Par2094" display="Par2094" xr:uid="{69771D2B-789D-45A3-86D8-03C9FE71CC3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1"/>
  <sheetViews>
    <sheetView zoomScaleNormal="100" zoomScaleSheetLayoutView="100" workbookViewId="0">
      <selection activeCell="N16" sqref="N16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f>январь!C7+8</f>
        <v>12</v>
      </c>
      <c r="D7" s="2">
        <v>1</v>
      </c>
      <c r="E7" s="2"/>
      <c r="F7" s="6">
        <f>январь!F7+110</f>
        <v>158</v>
      </c>
      <c r="G7" s="6">
        <v>15</v>
      </c>
      <c r="H7" s="2"/>
      <c r="I7" s="3">
        <f>январь!I7+279.51/1.2</f>
        <v>292.92500000000001</v>
      </c>
      <c r="J7" s="3">
        <f>0.55/1.2</f>
        <v>0.45833333333333337</v>
      </c>
      <c r="K7" s="2"/>
      <c r="M7" s="9">
        <f>I7+I8+J8+J7</f>
        <v>419.74830000000003</v>
      </c>
      <c r="N7">
        <f>M7*1.2</f>
        <v>503.69796000000002</v>
      </c>
    </row>
    <row r="8" spans="1:16" x14ac:dyDescent="0.25">
      <c r="A8" s="1">
        <v>2</v>
      </c>
      <c r="B8" s="2" t="s">
        <v>11</v>
      </c>
      <c r="C8" s="2">
        <f>январь!C8+1</f>
        <v>3</v>
      </c>
      <c r="D8" s="2"/>
      <c r="E8" s="2"/>
      <c r="F8" s="6">
        <f>январь!F8+50</f>
        <v>100</v>
      </c>
      <c r="G8" s="6"/>
      <c r="H8" s="2"/>
      <c r="I8" s="3">
        <f>январь!I8+105/1.2</f>
        <v>126.36496666666667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zoomScaleNormal="100" zoomScaleSheetLayoutView="100" workbookViewId="0">
      <selection activeCell="C7" sqref="C7: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f>февраль!C7+8</f>
        <v>20</v>
      </c>
      <c r="D7" s="2">
        <f>февраль!D7</f>
        <v>1</v>
      </c>
      <c r="E7" s="2"/>
      <c r="F7" s="6">
        <f>февраль!F7+96</f>
        <v>254</v>
      </c>
      <c r="G7" s="6">
        <f>февраль!G7</f>
        <v>15</v>
      </c>
      <c r="H7" s="2"/>
      <c r="I7" s="3">
        <f>февраль!I7+188.276/1.2</f>
        <v>449.82166666666672</v>
      </c>
      <c r="J7" s="3">
        <f>февраль!J7</f>
        <v>0.45833333333333337</v>
      </c>
      <c r="K7" s="2"/>
      <c r="M7" s="9">
        <f>I7+I8+J7+J11</f>
        <v>776.64496666666673</v>
      </c>
      <c r="N7">
        <f>M7*1.2</f>
        <v>931.97396000000003</v>
      </c>
    </row>
    <row r="8" spans="1:16" x14ac:dyDescent="0.25">
      <c r="A8" s="1">
        <v>2</v>
      </c>
      <c r="B8" s="2" t="s">
        <v>11</v>
      </c>
      <c r="C8" s="2">
        <f>февраль!C8+1</f>
        <v>4</v>
      </c>
      <c r="D8" s="2"/>
      <c r="E8" s="2"/>
      <c r="F8" s="6">
        <f>февраль!F8+80</f>
        <v>180</v>
      </c>
      <c r="G8" s="6"/>
      <c r="H8" s="2"/>
      <c r="I8" s="3">
        <f>февраль!I8+240/1.2</f>
        <v>326.36496666666665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февраль!D11+1</f>
        <v>1</v>
      </c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zoomScaleNormal="100" zoomScaleSheetLayoutView="100" workbookViewId="0">
      <selection activeCell="F7" sqref="F7:G8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f>март!C7+14</f>
        <v>34</v>
      </c>
      <c r="D7" s="2">
        <f>март!D7</f>
        <v>1</v>
      </c>
      <c r="E7" s="2"/>
      <c r="F7" s="6">
        <f>март!F7+169</f>
        <v>423</v>
      </c>
      <c r="G7" s="6">
        <f>март!G7</f>
        <v>15</v>
      </c>
      <c r="H7" s="2"/>
      <c r="I7" s="3">
        <f>март!I7+292.976/1.2</f>
        <v>693.96833333333336</v>
      </c>
      <c r="J7" s="3">
        <f>март!J7</f>
        <v>0.45833333333333337</v>
      </c>
      <c r="K7" s="2"/>
      <c r="M7" s="9">
        <f>I7+I8+J7+J11</f>
        <v>1020.7916333333334</v>
      </c>
      <c r="N7" s="9">
        <f>M7*1.2</f>
        <v>1224.9499599999999</v>
      </c>
    </row>
    <row r="8" spans="1:16" x14ac:dyDescent="0.25">
      <c r="A8" s="1">
        <v>2</v>
      </c>
      <c r="B8" s="2" t="s">
        <v>11</v>
      </c>
      <c r="C8" s="2">
        <f>март!C8</f>
        <v>4</v>
      </c>
      <c r="D8" s="2"/>
      <c r="E8" s="2"/>
      <c r="F8" s="6">
        <f>март!F8</f>
        <v>180</v>
      </c>
      <c r="G8" s="6"/>
      <c r="H8" s="2"/>
      <c r="I8" s="3">
        <f>март!I8</f>
        <v>326.36496666666665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topLeftCell="B1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f>апрель!C7+10</f>
        <v>44</v>
      </c>
      <c r="D7" s="2">
        <f>апрель!D7</f>
        <v>1</v>
      </c>
      <c r="E7" s="2"/>
      <c r="F7" s="6">
        <f>апрель!F7+145</f>
        <v>568</v>
      </c>
      <c r="G7" s="6">
        <f>апрель!G7</f>
        <v>15</v>
      </c>
      <c r="H7" s="2"/>
      <c r="I7" s="10">
        <f>апрель!I7+349.524/1.2</f>
        <v>985.23833333333346</v>
      </c>
      <c r="J7" s="10">
        <f>апрель!J7</f>
        <v>0.45833333333333337</v>
      </c>
      <c r="K7" s="2"/>
      <c r="M7" s="11">
        <f>I7+I8+J7+J11+I11</f>
        <v>1312.0616333333335</v>
      </c>
      <c r="N7" s="12">
        <f>M7*1.2</f>
        <v>1574.47396</v>
      </c>
    </row>
    <row r="8" spans="1:16" x14ac:dyDescent="0.25">
      <c r="A8" s="1">
        <v>2</v>
      </c>
      <c r="B8" s="2" t="s">
        <v>11</v>
      </c>
      <c r="C8" s="2">
        <f>апрель!C8</f>
        <v>4</v>
      </c>
      <c r="D8" s="2"/>
      <c r="E8" s="2"/>
      <c r="F8" s="6">
        <f>апрель!F8</f>
        <v>180</v>
      </c>
      <c r="G8" s="6"/>
      <c r="H8" s="2"/>
      <c r="I8" s="10">
        <f>апрель!I8</f>
        <v>326.36496666666665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zoomScaleNormal="100" zoomScaleSheetLayoutView="100" workbookViewId="0">
      <selection activeCell="M8" sqref="M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f>май!C7+11</f>
        <v>55</v>
      </c>
      <c r="D7" s="2">
        <f>май!D7</f>
        <v>1</v>
      </c>
      <c r="E7" s="2"/>
      <c r="F7" s="6">
        <f>май!F7+129</f>
        <v>697</v>
      </c>
      <c r="G7" s="6">
        <f>май!G7</f>
        <v>15</v>
      </c>
      <c r="H7" s="2"/>
      <c r="I7" s="10">
        <f>май!I7+(337750/1000)/1.2</f>
        <v>1266.6966666666667</v>
      </c>
      <c r="J7" s="10">
        <f>май!J7</f>
        <v>0.45833333333333337</v>
      </c>
      <c r="K7" s="2"/>
      <c r="M7" s="11">
        <f>I7+I8+J7+J11+I11</f>
        <v>1593.5199666666665</v>
      </c>
      <c r="N7" s="12">
        <f>M7*1.2</f>
        <v>1912.2239599999998</v>
      </c>
    </row>
    <row r="8" spans="1:16" x14ac:dyDescent="0.25">
      <c r="A8" s="1">
        <v>2</v>
      </c>
      <c r="B8" s="2" t="s">
        <v>11</v>
      </c>
      <c r="C8" s="2">
        <f>май!C8</f>
        <v>4</v>
      </c>
      <c r="D8" s="2"/>
      <c r="E8" s="2"/>
      <c r="F8" s="6">
        <f>май!F8</f>
        <v>180</v>
      </c>
      <c r="G8" s="6"/>
      <c r="H8" s="2"/>
      <c r="I8" s="10">
        <f>май!I8</f>
        <v>326.36496666666665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zoomScaleNormal="100" zoomScaleSheetLayoutView="100" workbookViewId="0">
      <selection activeCell="I7" sqref="I7:J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f>июнь!C7+7</f>
        <v>62</v>
      </c>
      <c r="D7" s="2">
        <f>июнь!D7</f>
        <v>1</v>
      </c>
      <c r="E7" s="2"/>
      <c r="F7" s="6">
        <f>июнь!F7+86</f>
        <v>783</v>
      </c>
      <c r="G7" s="6">
        <f>июнь!G7</f>
        <v>15</v>
      </c>
      <c r="H7" s="2"/>
      <c r="I7" s="10">
        <f>июнь!I7+251.46/1.2</f>
        <v>1476.2466666666667</v>
      </c>
      <c r="J7" s="10">
        <f>июнь!J7</f>
        <v>0.45833333333333337</v>
      </c>
      <c r="K7" s="2"/>
      <c r="M7" s="11">
        <f>I7+I8+J8+J11+I11</f>
        <v>1802.6116333333334</v>
      </c>
      <c r="N7" s="12">
        <f>M7*1.2</f>
        <v>2163.1339600000001</v>
      </c>
    </row>
    <row r="8" spans="1:16" x14ac:dyDescent="0.25">
      <c r="A8" s="1">
        <v>2</v>
      </c>
      <c r="B8" s="2" t="s">
        <v>11</v>
      </c>
      <c r="C8" s="2">
        <f>июнь!C8</f>
        <v>4</v>
      </c>
      <c r="D8" s="2"/>
      <c r="E8" s="2"/>
      <c r="F8" s="6">
        <f>июнь!F8</f>
        <v>180</v>
      </c>
      <c r="G8" s="6">
        <f>июнь!G8</f>
        <v>0</v>
      </c>
      <c r="H8" s="2"/>
      <c r="I8" s="10">
        <f>июнь!I8</f>
        <v>326.36496666666665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zoomScaleNormal="100" zoomScaleSheetLayoutView="100" workbookViewId="0">
      <selection activeCell="M8" sqref="M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f>июль!C7+9</f>
        <v>71</v>
      </c>
      <c r="D7" s="2">
        <f>июль!D7</f>
        <v>1</v>
      </c>
      <c r="E7" s="2"/>
      <c r="F7" s="6">
        <f>июль!F7+93</f>
        <v>876</v>
      </c>
      <c r="G7" s="6">
        <f>июль!G7</f>
        <v>15</v>
      </c>
      <c r="H7" s="2"/>
      <c r="I7" s="10">
        <f>июль!I7+223972/1.2/1000</f>
        <v>1662.89</v>
      </c>
      <c r="J7" s="10">
        <f>июль!J7</f>
        <v>0.45833333333333337</v>
      </c>
      <c r="K7" s="2"/>
      <c r="M7" s="11">
        <f>I7+I8+J8+J11+I11+J7</f>
        <v>1989.7133000000001</v>
      </c>
      <c r="N7" s="12">
        <f>M7*1.2</f>
        <v>2387.6559600000001</v>
      </c>
    </row>
    <row r="8" spans="1:16" x14ac:dyDescent="0.25">
      <c r="A8" s="1">
        <v>2</v>
      </c>
      <c r="B8" s="2" t="s">
        <v>11</v>
      </c>
      <c r="C8" s="2">
        <f>июль!C8</f>
        <v>4</v>
      </c>
      <c r="D8" s="2">
        <f>июль!D8</f>
        <v>0</v>
      </c>
      <c r="E8" s="2"/>
      <c r="F8" s="6">
        <f>июль!F8</f>
        <v>180</v>
      </c>
      <c r="G8" s="6">
        <f>июль!G8</f>
        <v>0</v>
      </c>
      <c r="H8" s="2"/>
      <c r="I8" s="10">
        <f>июль!I8</f>
        <v>326.36496666666665</v>
      </c>
      <c r="J8" s="10">
        <f>июль!J8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июль!C11</f>
        <v>0</v>
      </c>
      <c r="D11" s="2">
        <f>июль!D11</f>
        <v>0</v>
      </c>
      <c r="E11" s="2"/>
      <c r="F11" s="2">
        <f>июль!F11</f>
        <v>0</v>
      </c>
      <c r="G11" s="6">
        <f>июль!G11</f>
        <v>0</v>
      </c>
      <c r="H11" s="2"/>
      <c r="I11" s="10">
        <f>июль!I11</f>
        <v>0</v>
      </c>
      <c r="J11" s="10">
        <f>июль!J11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tabSelected="1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ht="69.75" customHeight="1" x14ac:dyDescent="0.25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30" customHeight="1" x14ac:dyDescent="0.25">
      <c r="A3" s="20" t="s">
        <v>1</v>
      </c>
      <c r="B3" s="20"/>
      <c r="C3" s="20" t="s">
        <v>2</v>
      </c>
      <c r="D3" s="20"/>
      <c r="E3" s="20"/>
      <c r="F3" s="20" t="s">
        <v>3</v>
      </c>
      <c r="G3" s="20"/>
      <c r="H3" s="20"/>
      <c r="I3" s="20" t="s">
        <v>4</v>
      </c>
      <c r="J3" s="20"/>
      <c r="K3" s="20"/>
    </row>
    <row r="4" spans="1:16" ht="30" x14ac:dyDescent="0.25">
      <c r="A4" s="20"/>
      <c r="B4" s="20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5"/>
      <c r="O6" s="15"/>
      <c r="P6" s="15"/>
    </row>
    <row r="7" spans="1:16" x14ac:dyDescent="0.25">
      <c r="A7" s="2"/>
      <c r="B7" s="5" t="s">
        <v>10</v>
      </c>
      <c r="C7" s="2">
        <f>август!C7+14</f>
        <v>85</v>
      </c>
      <c r="D7" s="2">
        <f>август!D7</f>
        <v>1</v>
      </c>
      <c r="E7" s="2"/>
      <c r="F7" s="6">
        <f>август!F7+175+8.5</f>
        <v>1059.5</v>
      </c>
      <c r="G7" s="6">
        <f>август!G7</f>
        <v>15</v>
      </c>
      <c r="H7" s="2"/>
      <c r="I7" s="14">
        <f>август!I7+604352/1000/1.2</f>
        <v>2166.5166666666669</v>
      </c>
      <c r="J7" s="10">
        <f>август!J7</f>
        <v>0.45833333333333337</v>
      </c>
      <c r="K7" s="2"/>
      <c r="M7" s="11">
        <f>I7+I8+J8+J11+I11+J7</f>
        <v>2546.5399666666672</v>
      </c>
      <c r="N7" s="12">
        <f>M7*1.2</f>
        <v>3055.8479600000005</v>
      </c>
    </row>
    <row r="8" spans="1:16" x14ac:dyDescent="0.25">
      <c r="A8" s="1">
        <v>2</v>
      </c>
      <c r="B8" s="2" t="s">
        <v>11</v>
      </c>
      <c r="C8" s="2">
        <f>август!C8+1</f>
        <v>5</v>
      </c>
      <c r="D8" s="2">
        <f>август!D8</f>
        <v>0</v>
      </c>
      <c r="E8" s="2"/>
      <c r="F8" s="6">
        <f>август!F8+30</f>
        <v>210</v>
      </c>
      <c r="G8" s="6">
        <f>август!G8</f>
        <v>0</v>
      </c>
      <c r="H8" s="2"/>
      <c r="I8" s="14">
        <f>август!I8+63840/1000/1.2</f>
        <v>379.56496666666663</v>
      </c>
      <c r="J8" s="10">
        <f>август!J8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август!C11</f>
        <v>0</v>
      </c>
      <c r="D11" s="2">
        <f>август!D11</f>
        <v>0</v>
      </c>
      <c r="E11" s="2"/>
      <c r="F11" s="2">
        <f>август!F11</f>
        <v>0</v>
      </c>
      <c r="G11" s="6">
        <f>август!G11</f>
        <v>0</v>
      </c>
      <c r="H11" s="2"/>
      <c r="I11" s="10">
        <f>август!I11</f>
        <v>0</v>
      </c>
      <c r="J11" s="14">
        <f>август!J11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x14ac:dyDescent="0.25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Пользователь</cp:lastModifiedBy>
  <cp:lastPrinted>2021-11-01T02:32:19Z</cp:lastPrinted>
  <dcterms:created xsi:type="dcterms:W3CDTF">2015-06-05T18:19:34Z</dcterms:created>
  <dcterms:modified xsi:type="dcterms:W3CDTF">2023-10-04T09:07:21Z</dcterms:modified>
</cp:coreProperties>
</file>