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3\"/>
    </mc:Choice>
  </mc:AlternateContent>
  <xr:revisionPtr revIDLastSave="0" documentId="13_ncr:1_{E2DA521D-A11B-4460-828C-4B3545F433C4}" xr6:coauthVersionLast="47" xr6:coauthVersionMax="47" xr10:uidLastSave="{00000000-0000-0000-0000-000000000000}"/>
  <bookViews>
    <workbookView xWindow="12735" yWindow="990" windowWidth="11940" windowHeight="13980" firstSheet="6" activeTab="6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r:id="rId7"/>
    <sheet name="август" sheetId="9" state="hidden" r:id="rId8"/>
    <sheet name="сентябрь" sheetId="10" state="hidden" r:id="rId9"/>
    <sheet name="октябрь" sheetId="11" state="hidden" r:id="rId10"/>
    <sheet name="ноябрь" sheetId="12" state="hidden" r:id="rId11"/>
    <sheet name="декабрь" sheetId="13" state="hidden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февраль!$A$1:$K$21</definedName>
    <definedName name="_xlnm.Print_Area" localSheetId="0">январь!$A$1:$K$21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8" l="1"/>
  <c r="F7" i="8"/>
  <c r="C7" i="8"/>
  <c r="I8" i="8"/>
  <c r="J7" i="8"/>
  <c r="G8" i="8"/>
  <c r="F8" i="8"/>
  <c r="G7" i="8"/>
  <c r="D7" i="8"/>
  <c r="C8" i="8"/>
  <c r="M7" i="7"/>
  <c r="I8" i="7"/>
  <c r="J7" i="7"/>
  <c r="G7" i="7"/>
  <c r="D7" i="7"/>
  <c r="I7" i="7"/>
  <c r="F7" i="7"/>
  <c r="C7" i="7"/>
  <c r="D7" i="5" l="1"/>
  <c r="D7" i="6" s="1"/>
  <c r="C7" i="4"/>
  <c r="C7" i="5" s="1"/>
  <c r="C7" i="6" s="1"/>
  <c r="J7" i="4"/>
  <c r="J7" i="5" s="1"/>
  <c r="J7" i="6" s="1"/>
  <c r="G7" i="4"/>
  <c r="G7" i="5" s="1"/>
  <c r="G7" i="6" s="1"/>
  <c r="D7" i="4"/>
  <c r="J7" i="3"/>
  <c r="C8" i="3"/>
  <c r="C8" i="4" s="1"/>
  <c r="C7" i="3"/>
  <c r="I8" i="2" l="1"/>
  <c r="I8" i="3" s="1"/>
  <c r="I8" i="4" s="1"/>
  <c r="F8" i="2"/>
  <c r="F8" i="3" s="1"/>
  <c r="F8" i="4" s="1"/>
  <c r="I7" i="2"/>
  <c r="I7" i="3" s="1"/>
  <c r="I7" i="4" s="1"/>
  <c r="F7" i="2"/>
  <c r="F7" i="3" s="1"/>
  <c r="F7" i="4" s="1"/>
  <c r="F7" i="5" s="1"/>
  <c r="F7" i="6" s="1"/>
  <c r="I7" i="5" l="1"/>
  <c r="M7" i="4"/>
  <c r="M7" i="3"/>
  <c r="I11" i="9"/>
  <c r="I11" i="10" s="1"/>
  <c r="I11" i="11" s="1"/>
  <c r="I11" i="12" s="1"/>
  <c r="I11" i="13" s="1"/>
  <c r="C11" i="9"/>
  <c r="C11" i="10" s="1"/>
  <c r="C11" i="11" s="1"/>
  <c r="C11" i="12" s="1"/>
  <c r="C11" i="13" s="1"/>
  <c r="F11" i="9"/>
  <c r="F11" i="10" s="1"/>
  <c r="F11" i="11" s="1"/>
  <c r="F11" i="12" s="1"/>
  <c r="F11" i="13" s="1"/>
  <c r="I7" i="6" l="1"/>
  <c r="J8" i="9"/>
  <c r="J8" i="10" s="1"/>
  <c r="J8" i="11" s="1"/>
  <c r="J8" i="12" s="1"/>
  <c r="J8" i="13" s="1"/>
  <c r="I8" i="5"/>
  <c r="I8" i="6" s="1"/>
  <c r="I8" i="9" s="1"/>
  <c r="I8" i="10" s="1"/>
  <c r="I8" i="11" s="1"/>
  <c r="I8" i="12" s="1"/>
  <c r="I8" i="13" s="1"/>
  <c r="F8" i="5"/>
  <c r="F8" i="6" s="1"/>
  <c r="F7" i="9"/>
  <c r="F7" i="10" s="1"/>
  <c r="F7" i="11" s="1"/>
  <c r="F7" i="12" s="1"/>
  <c r="F7" i="13" s="1"/>
  <c r="C7" i="9"/>
  <c r="C7" i="10" s="1"/>
  <c r="C7" i="11" s="1"/>
  <c r="C7" i="12" s="1"/>
  <c r="C7" i="13" s="1"/>
  <c r="G11" i="9"/>
  <c r="G11" i="10" s="1"/>
  <c r="G11" i="11" s="1"/>
  <c r="G11" i="12" s="1"/>
  <c r="G11" i="13" s="1"/>
  <c r="D8" i="9"/>
  <c r="D8" i="10" s="1"/>
  <c r="D8" i="11" s="1"/>
  <c r="D8" i="12" s="1"/>
  <c r="D8" i="13" s="1"/>
  <c r="C8" i="5"/>
  <c r="C8" i="6" s="1"/>
  <c r="C8" i="7" l="1"/>
  <c r="C8" i="9" s="1"/>
  <c r="C8" i="10" s="1"/>
  <c r="C8" i="11" s="1"/>
  <c r="C8" i="12" s="1"/>
  <c r="C8" i="13" s="1"/>
  <c r="F8" i="9"/>
  <c r="F8" i="10" s="1"/>
  <c r="F8" i="11" s="1"/>
  <c r="F8" i="12" s="1"/>
  <c r="F8" i="13" s="1"/>
  <c r="F8" i="7"/>
  <c r="M7" i="5"/>
  <c r="M7" i="6"/>
  <c r="G8" i="9"/>
  <c r="G8" i="10" s="1"/>
  <c r="G8" i="11" s="1"/>
  <c r="G8" i="12" s="1"/>
  <c r="G8" i="13" s="1"/>
  <c r="I7" i="9" l="1"/>
  <c r="I7" i="10" s="1"/>
  <c r="D11" i="4"/>
  <c r="D11" i="9" s="1"/>
  <c r="D11" i="10" s="1"/>
  <c r="D11" i="11" s="1"/>
  <c r="D11" i="12" s="1"/>
  <c r="D11" i="13" s="1"/>
  <c r="I7" i="11" l="1"/>
  <c r="M7" i="2"/>
  <c r="N7" i="2"/>
  <c r="I7" i="12" l="1"/>
  <c r="N7" i="3"/>
  <c r="I7" i="13" l="1"/>
  <c r="N7" i="4"/>
  <c r="N7" i="5" l="1"/>
  <c r="N7" i="6" l="1"/>
  <c r="N7" i="7" l="1"/>
  <c r="J11" i="9" l="1"/>
  <c r="M7" i="8"/>
  <c r="N7" i="8" s="1"/>
  <c r="J11" i="10" l="1"/>
  <c r="M7" i="9"/>
  <c r="N7" i="9" s="1"/>
  <c r="J11" i="11" l="1"/>
  <c r="M7" i="10"/>
  <c r="N7" i="10" s="1"/>
  <c r="J11" i="12" l="1"/>
  <c r="M7" i="11"/>
  <c r="N7" i="11" s="1"/>
  <c r="J11" i="13" l="1"/>
  <c r="M7" i="13" s="1"/>
  <c r="N7" i="13" s="1"/>
  <c r="M7" i="12"/>
  <c r="N7" i="12" s="1"/>
</calcChain>
</file>

<file path=xl/sharedStrings.xml><?xml version="1.0" encoding="utf-8"?>
<sst xmlns="http://schemas.openxmlformats.org/spreadsheetml/2006/main" count="348" uniqueCount="31">
  <si>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</si>
  <si>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</si>
  <si>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</si>
  <si>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</si>
  <si>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</si>
  <si>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</si>
  <si>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</si>
  <si>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</si>
  <si>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</si>
  <si>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</si>
  <si>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</si>
  <si>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</si>
  <si>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</si>
  <si>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</si>
  <si>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</si>
  <si>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</si>
  <si>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</si>
  <si>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</si>
  <si>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</si>
  <si>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сентябрь 2022 года</t>
  </si>
  <si>
    <t>ИНФОРМАЦИЯ
об осуществлении технологического присоединения
по договорам, заключенным ООО ЭСК "Энергия"
за октябрь 2022 года</t>
  </si>
  <si>
    <t>ИНФОРМАЦИЯ
об осуществлении технологического присоединения
по договорам, заключенным ООО ЭСК "Энергия"
за ноябрь 2022 года</t>
  </si>
  <si>
    <t>ИНФОРМАЦИЯ
об осуществлении технологического присоединения
по договорам, заключенным ООО ЭСК "Энергия"
за декабрь 2022 года</t>
  </si>
  <si>
    <t>ИНФОРМАЦИЯ
об осуществлении технологического присоединения
по договорам, заключенным ООО ЭСК "Энергия"
за январь 2023 года</t>
  </si>
  <si>
    <t xml:space="preserve">Приложение N 4
к стандартам раскрытия информации
субъектами оптового и розничных
рынков электрической энергии
</t>
  </si>
  <si>
    <t>ИНФОРМАЦИЯ
об осуществлении технологического присоединения
по договорам, заключенным ООО ЭСК "Энергия"
за февраль 2023 года</t>
  </si>
  <si>
    <t>ИНФОРМАЦИЯ
об осуществлении технологического присоединения
по договорам, заключенным ООО ЭСК "Энергия"
за март 2023 года</t>
  </si>
  <si>
    <t>ИНФОРМАЦИЯ
об осуществлении технологического присоединения
по договорам, заключенным ООО ЭСК "Энергия"
за апрель 2023 года</t>
  </si>
  <si>
    <t>ИНФОРМАЦИЯ
об осуществлении технологического присоединения
по договорам, заключенным ООО ЭСК "Энергия"
за май 2023 года</t>
  </si>
  <si>
    <t>ИНФОРМАЦИЯ
об осуществлении технологического присоединения
по договорам, заключенным ООО ЭСК "Энергия"
за июнь 2023 года</t>
  </si>
  <si>
    <t>ИНФОРМАЦИЯ
об осуществлении технологического присоединения
по договорам, заключенным ООО ЭСК "Энергия"
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</si>
</sst>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4" fillId="0" borderId="2" xfId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vertical="center" wrapText="1"/>
    </xf>
    <xf numFmtId="165" fontId="0" fillId="0" borderId="0" xfId="0" applyNumberFormat="1"/>
    <xf numFmtId="4" fontId="3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view="pageBreakPreview" zoomScaleNormal="100" zoomScaleSheetLayoutView="100" workbookViewId="0">
      <selection activeCell="I7" sqref="I7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v>4</v>
      </c>
      <c r="D7" s="2"/>
      <c r="E7" s="2"/>
      <c r="F7" s="6">
        <f>48</f>
        <v>48</v>
      </c>
      <c r="G7" s="6"/>
      <c r="H7" s="2"/>
      <c r="I7" s="3">
        <f>72/1.2</f>
        <v>60</v>
      </c>
      <c r="J7" s="2"/>
      <c r="K7" s="2"/>
      <c r="M7" s="7">
        <f>I7+I8+J8+J11</f>
        <v>98.864966666666675</v>
      </c>
      <c r="N7">
        <f>M7*1.2</f>
        <v>118.63796000000001</v>
      </c>
    </row>
    <row r="8" spans="1:16" x14ac:dyDescent="0.25">
      <c r="A8" s="1">
        <v>2</v>
      </c>
      <c r="B8" s="2" t="s">
        <v>11</v>
      </c>
      <c r="C8" s="2">
        <v>2</v>
      </c>
      <c r="D8" s="2"/>
      <c r="E8" s="2"/>
      <c r="F8" s="6">
        <f>50</f>
        <v>50</v>
      </c>
      <c r="G8" s="6"/>
      <c r="H8" s="2"/>
      <c r="I8" s="3">
        <f>46.63796/1.2</f>
        <v>38.864966666666668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D1" zoomScaleNormal="100" zoomScaleSheetLayoutView="100" workbookViewId="0">
      <selection activeCell="H14" sqref="H14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сентябрь!C7+9</f>
        <v>100</v>
      </c>
      <c r="D7" s="2"/>
      <c r="E7" s="2"/>
      <c r="F7" s="6">
        <f>сентябрь!F7+92.2</f>
        <v>1254.2</v>
      </c>
      <c r="G7" s="6"/>
      <c r="H7" s="2"/>
      <c r="I7" s="10">
        <f>сентябрь!I7+217.1/1.2</f>
        <v>2073.0672666666665</v>
      </c>
      <c r="J7" s="10"/>
      <c r="K7" s="2"/>
      <c r="M7" s="11">
        <f>I7+I8+J8+J11+I11</f>
        <v>2570.6697333333327</v>
      </c>
      <c r="N7" s="12">
        <f>M7*1.2</f>
        <v>3084.8036799999991</v>
      </c>
    </row>
    <row r="8" spans="1:16" x14ac:dyDescent="0.25">
      <c r="A8" s="1">
        <v>2</v>
      </c>
      <c r="B8" s="2" t="s">
        <v>11</v>
      </c>
      <c r="C8" s="2">
        <f>сентябрь!C8</f>
        <v>5</v>
      </c>
      <c r="D8" s="2">
        <f>сентябрь!D8</f>
        <v>0</v>
      </c>
      <c r="E8" s="2"/>
      <c r="F8" s="6">
        <f>сентябрь!F8</f>
        <v>230</v>
      </c>
      <c r="G8" s="6">
        <f>сентябрь!G8</f>
        <v>0</v>
      </c>
      <c r="H8" s="2"/>
      <c r="I8" s="10">
        <f>сентябрь!I8</f>
        <v>340.69046666666662</v>
      </c>
      <c r="J8" s="10">
        <f>сентябрь!J8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сентябрь!C11</f>
        <v>0</v>
      </c>
      <c r="D11" s="2">
        <f>сентябрь!D11</f>
        <v>1</v>
      </c>
      <c r="E11" s="2"/>
      <c r="F11" s="2">
        <f>сентябрь!F11</f>
        <v>0</v>
      </c>
      <c r="G11" s="6">
        <f>сентябрь!G11</f>
        <v>400</v>
      </c>
      <c r="H11" s="2"/>
      <c r="I11" s="10">
        <f>сентябрь!I11</f>
        <v>0</v>
      </c>
      <c r="J11" s="10">
        <f>сентябрь!J11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C1" zoomScaleNormal="100" zoomScaleSheetLayoutView="100" workbookViewId="0">
      <selection activeCell="N8" sqref="N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октябрь!C7+5</f>
        <v>105</v>
      </c>
      <c r="D7" s="2"/>
      <c r="E7" s="2"/>
      <c r="F7" s="6">
        <f>октябрь!F7+61</f>
        <v>1315.2</v>
      </c>
      <c r="G7" s="6"/>
      <c r="H7" s="2"/>
      <c r="I7" s="10">
        <f>октябрь!I7+138.55/1.2</f>
        <v>2188.5255999999999</v>
      </c>
      <c r="J7" s="10"/>
      <c r="K7" s="2"/>
      <c r="M7" s="11">
        <f>I7+I8+J8+J11+I11</f>
        <v>2780.5605416666663</v>
      </c>
      <c r="N7" s="12">
        <f>M7*1.2</f>
        <v>3336.6726499999995</v>
      </c>
    </row>
    <row r="8" spans="1:16" x14ac:dyDescent="0.25">
      <c r="A8" s="1">
        <v>2</v>
      </c>
      <c r="B8" s="2" t="s">
        <v>11</v>
      </c>
      <c r="C8" s="2">
        <f>октябрь!C8+2</f>
        <v>7</v>
      </c>
      <c r="D8" s="2">
        <f>октябрь!D8</f>
        <v>0</v>
      </c>
      <c r="E8" s="2"/>
      <c r="F8" s="6">
        <f>октябрь!F8+55</f>
        <v>285</v>
      </c>
      <c r="G8" s="6">
        <f>октябрь!G8</f>
        <v>0</v>
      </c>
      <c r="H8" s="2"/>
      <c r="I8" s="10">
        <f>октябрь!I8+113.31897/1.2</f>
        <v>435.12294166666663</v>
      </c>
      <c r="J8" s="10">
        <f>октябрь!J8</f>
        <v>0</v>
      </c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октябрь!C11</f>
        <v>0</v>
      </c>
      <c r="D11" s="2">
        <f>октябрь!D11</f>
        <v>1</v>
      </c>
      <c r="E11" s="2"/>
      <c r="F11" s="2">
        <f>октябрь!F11</f>
        <v>0</v>
      </c>
      <c r="G11" s="6">
        <f>октябрь!G11</f>
        <v>400</v>
      </c>
      <c r="H11" s="2"/>
      <c r="I11" s="10">
        <f>октябрь!I11</f>
        <v>0</v>
      </c>
      <c r="J11" s="10">
        <f>октябрь!J11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view="pageBreakPreview" topLeftCell="A3" zoomScaleNormal="100" zoomScaleSheetLayoutView="100" workbookViewId="0">
      <selection activeCell="A18" sqref="A18:K1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</cols>
  <sheetData>
    <row r="1" spans="1:16" ht="81.75" customHeight="1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ноябрь!C7+12</f>
        <v>117</v>
      </c>
      <c r="D7" s="2"/>
      <c r="E7" s="2"/>
      <c r="F7" s="6">
        <f>ноябрь!F7+180</f>
        <v>1495.2</v>
      </c>
      <c r="G7" s="6"/>
      <c r="H7" s="2"/>
      <c r="I7" s="10">
        <f>ноябрь!I7+357.15/1.2</f>
        <v>2486.1505999999999</v>
      </c>
      <c r="J7" s="10"/>
      <c r="K7" s="2"/>
      <c r="M7" s="11">
        <f>I7+I8+J8+J11+I11</f>
        <v>3339.9972416666665</v>
      </c>
      <c r="N7" s="12">
        <f>M7*1.2</f>
        <v>4007.9966899999995</v>
      </c>
    </row>
    <row r="8" spans="1:16" x14ac:dyDescent="0.25">
      <c r="A8" s="1">
        <v>2</v>
      </c>
      <c r="B8" s="2" t="s">
        <v>11</v>
      </c>
      <c r="C8" s="2">
        <f>ноябрь!C8+1</f>
        <v>8</v>
      </c>
      <c r="D8" s="2">
        <f>ноябрь!D8</f>
        <v>0</v>
      </c>
      <c r="E8" s="2"/>
      <c r="F8" s="6">
        <f>ноябрь!F8+24</f>
        <v>309</v>
      </c>
      <c r="G8" s="6">
        <f>ноябрь!G8</f>
        <v>0</v>
      </c>
      <c r="H8" s="2"/>
      <c r="I8" s="10">
        <f>ноябрь!I8+72/1.2</f>
        <v>495.12294166666663</v>
      </c>
      <c r="J8" s="10">
        <f>ноябрь!J8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ноябрь!C11+2</f>
        <v>2</v>
      </c>
      <c r="D11" s="2">
        <f>ноябрь!D11</f>
        <v>1</v>
      </c>
      <c r="E11" s="2"/>
      <c r="F11" s="2">
        <f>ноябрь!F11+365</f>
        <v>365</v>
      </c>
      <c r="G11" s="6">
        <f>ноябрь!G11</f>
        <v>400</v>
      </c>
      <c r="H11" s="2"/>
      <c r="I11" s="10">
        <f>ноябрь!I11+242.17404/1.2</f>
        <v>201.8117</v>
      </c>
      <c r="J11" s="10">
        <f>ноябрь!J11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1"/>
  <sheetViews>
    <sheetView view="pageBreakPreview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январь!C7+8</f>
        <v>12</v>
      </c>
      <c r="D7" s="2">
        <v>1</v>
      </c>
      <c r="E7" s="2"/>
      <c r="F7" s="6">
        <f>январь!F7+110</f>
        <v>158</v>
      </c>
      <c r="G7" s="6">
        <v>15</v>
      </c>
      <c r="H7" s="2"/>
      <c r="I7" s="3">
        <f>январь!I7+279.51/1.2</f>
        <v>292.92500000000001</v>
      </c>
      <c r="J7" s="3">
        <f>0.55/1.2</f>
        <v>0.45833333333333337</v>
      </c>
      <c r="K7" s="2"/>
      <c r="M7" s="9">
        <f>I7+I8+J8+J7</f>
        <v>419.74830000000003</v>
      </c>
      <c r="N7">
        <f>M7*1.2</f>
        <v>503.69796000000002</v>
      </c>
    </row>
    <row r="8" spans="1:16" x14ac:dyDescent="0.25">
      <c r="A8" s="1">
        <v>2</v>
      </c>
      <c r="B8" s="2" t="s">
        <v>11</v>
      </c>
      <c r="C8" s="2">
        <f>январь!C8+1</f>
        <v>3</v>
      </c>
      <c r="D8" s="2"/>
      <c r="E8" s="2"/>
      <c r="F8" s="6">
        <f>январь!F8+50</f>
        <v>100</v>
      </c>
      <c r="G8" s="6"/>
      <c r="H8" s="2"/>
      <c r="I8" s="3">
        <f>январь!I8+105/1.2</f>
        <v>126.36496666666667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topLeftCell="A4" zoomScaleNormal="100" zoomScaleSheetLayoutView="100" workbookViewId="0">
      <selection activeCell="C12" sqref="C11:C12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февраль!C7+8</f>
        <v>20</v>
      </c>
      <c r="D7" s="2">
        <f>февраль!D7</f>
        <v>1</v>
      </c>
      <c r="E7" s="2"/>
      <c r="F7" s="6">
        <f>февраль!F7+96</f>
        <v>254</v>
      </c>
      <c r="G7" s="6">
        <f>февраль!G7</f>
        <v>15</v>
      </c>
      <c r="H7" s="2"/>
      <c r="I7" s="3">
        <f>февраль!I7+188.276/1.2</f>
        <v>449.82166666666672</v>
      </c>
      <c r="J7" s="3">
        <f>февраль!J7</f>
        <v>0.45833333333333337</v>
      </c>
      <c r="K7" s="2"/>
      <c r="M7" s="9">
        <f>I7+I8+J7+J11</f>
        <v>776.64496666666673</v>
      </c>
      <c r="N7">
        <f>M7*1.2</f>
        <v>931.97396000000003</v>
      </c>
    </row>
    <row r="8" spans="1:16" x14ac:dyDescent="0.25">
      <c r="A8" s="1">
        <v>2</v>
      </c>
      <c r="B8" s="2" t="s">
        <v>11</v>
      </c>
      <c r="C8" s="2">
        <f>февраль!C8+1</f>
        <v>4</v>
      </c>
      <c r="D8" s="2"/>
      <c r="E8" s="2"/>
      <c r="F8" s="6">
        <f>февраль!F8+80</f>
        <v>180</v>
      </c>
      <c r="G8" s="6"/>
      <c r="H8" s="2"/>
      <c r="I8" s="3">
        <f>февраль!I8+240/1.2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февраль!D11+1</f>
        <v>1</v>
      </c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view="pageBreakPreview" topLeftCell="E1" zoomScaleNormal="100" zoomScaleSheetLayoutView="100" workbookViewId="0">
      <selection activeCell="F7" sqref="F7:G8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март!C7+14</f>
        <v>34</v>
      </c>
      <c r="D7" s="2">
        <f>март!D7</f>
        <v>1</v>
      </c>
      <c r="E7" s="2"/>
      <c r="F7" s="6">
        <f>март!F7+169</f>
        <v>423</v>
      </c>
      <c r="G7" s="6">
        <f>март!G7</f>
        <v>15</v>
      </c>
      <c r="H7" s="2"/>
      <c r="I7" s="3">
        <f>март!I7+292.976/1.2</f>
        <v>693.96833333333336</v>
      </c>
      <c r="J7" s="3">
        <f>март!J7</f>
        <v>0.45833333333333337</v>
      </c>
      <c r="K7" s="2"/>
      <c r="M7" s="9">
        <f>I7+I8+J7+J11</f>
        <v>1020.7916333333334</v>
      </c>
      <c r="N7" s="9">
        <f>M7*1.2</f>
        <v>1224.9499599999999</v>
      </c>
    </row>
    <row r="8" spans="1:16" x14ac:dyDescent="0.25">
      <c r="A8" s="1">
        <v>2</v>
      </c>
      <c r="B8" s="2" t="s">
        <v>11</v>
      </c>
      <c r="C8" s="2">
        <f>март!C8</f>
        <v>4</v>
      </c>
      <c r="D8" s="2"/>
      <c r="E8" s="2"/>
      <c r="F8" s="6">
        <f>март!F8</f>
        <v>180</v>
      </c>
      <c r="G8" s="6"/>
      <c r="H8" s="2"/>
      <c r="I8" s="3">
        <f>март!I8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view="pageBreakPreview" topLeftCell="B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апрель!C7+10</f>
        <v>44</v>
      </c>
      <c r="D7" s="2">
        <f>апрель!D7</f>
        <v>1</v>
      </c>
      <c r="E7" s="2"/>
      <c r="F7" s="6">
        <f>апрель!F7+145</f>
        <v>568</v>
      </c>
      <c r="G7" s="6">
        <f>апрель!G7</f>
        <v>15</v>
      </c>
      <c r="H7" s="2"/>
      <c r="I7" s="10">
        <f>апрель!I7+349.524/1.2</f>
        <v>985.23833333333346</v>
      </c>
      <c r="J7" s="10">
        <f>апрель!J7</f>
        <v>0.45833333333333337</v>
      </c>
      <c r="K7" s="2"/>
      <c r="M7" s="11">
        <f>I7+I8+J7+J11+I11</f>
        <v>1312.0616333333335</v>
      </c>
      <c r="N7" s="12">
        <f>M7*1.2</f>
        <v>1574.47396</v>
      </c>
    </row>
    <row r="8" spans="1:16" x14ac:dyDescent="0.25">
      <c r="A8" s="1">
        <v>2</v>
      </c>
      <c r="B8" s="2" t="s">
        <v>11</v>
      </c>
      <c r="C8" s="2">
        <f>апрель!C8</f>
        <v>4</v>
      </c>
      <c r="D8" s="2"/>
      <c r="E8" s="2"/>
      <c r="F8" s="6">
        <f>апрель!F8</f>
        <v>180</v>
      </c>
      <c r="G8" s="6"/>
      <c r="H8" s="2"/>
      <c r="I8" s="10">
        <f>апрель!I8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view="pageBreakPreview" topLeftCell="F1"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май!C7+11</f>
        <v>55</v>
      </c>
      <c r="D7" s="2">
        <f>май!D7</f>
        <v>1</v>
      </c>
      <c r="E7" s="2"/>
      <c r="F7" s="6">
        <f>май!F7+129</f>
        <v>697</v>
      </c>
      <c r="G7" s="6">
        <f>май!G7</f>
        <v>15</v>
      </c>
      <c r="H7" s="2"/>
      <c r="I7" s="10">
        <f>май!I7+(337750/1000)/1.2</f>
        <v>1266.6966666666667</v>
      </c>
      <c r="J7" s="10">
        <f>май!J7</f>
        <v>0.45833333333333337</v>
      </c>
      <c r="K7" s="2"/>
      <c r="M7" s="11">
        <f>I7+I8+J7+J11+I11</f>
        <v>1593.5199666666665</v>
      </c>
      <c r="N7" s="12">
        <f>M7*1.2</f>
        <v>1912.2239599999998</v>
      </c>
    </row>
    <row r="8" spans="1:16" x14ac:dyDescent="0.25">
      <c r="A8" s="1">
        <v>2</v>
      </c>
      <c r="B8" s="2" t="s">
        <v>11</v>
      </c>
      <c r="C8" s="2">
        <f>май!C8</f>
        <v>4</v>
      </c>
      <c r="D8" s="2"/>
      <c r="E8" s="2"/>
      <c r="F8" s="6">
        <f>май!F8</f>
        <v>180</v>
      </c>
      <c r="G8" s="6"/>
      <c r="H8" s="2"/>
      <c r="I8" s="10">
        <f>май!I8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tabSelected="1" view="pageBreakPreview" topLeftCell="G1" zoomScaleNormal="100" zoomScaleSheetLayoutView="100" workbookViewId="0">
      <selection activeCell="H11" sqref="H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июнь!C7+7</f>
        <v>62</v>
      </c>
      <c r="D7" s="2">
        <f>июнь!D7</f>
        <v>1</v>
      </c>
      <c r="E7" s="2"/>
      <c r="F7" s="6">
        <f>июнь!F7+86</f>
        <v>783</v>
      </c>
      <c r="G7" s="6">
        <f>июнь!G7</f>
        <v>15</v>
      </c>
      <c r="H7" s="2"/>
      <c r="I7" s="10">
        <f>июнь!I7+251.46/1.2</f>
        <v>1476.2466666666667</v>
      </c>
      <c r="J7" s="10">
        <f>июнь!J7</f>
        <v>0.45833333333333337</v>
      </c>
      <c r="K7" s="2"/>
      <c r="M7" s="11">
        <f>I7+I8+J8+J11+I11</f>
        <v>1802.6116333333334</v>
      </c>
      <c r="N7" s="12">
        <f>M7*1.2</f>
        <v>2163.1339600000001</v>
      </c>
    </row>
    <row r="8" spans="1:16" x14ac:dyDescent="0.25">
      <c r="A8" s="1">
        <v>2</v>
      </c>
      <c r="B8" s="2" t="s">
        <v>11</v>
      </c>
      <c r="C8" s="2">
        <f>июнь!C8</f>
        <v>4</v>
      </c>
      <c r="D8" s="2"/>
      <c r="E8" s="2"/>
      <c r="F8" s="6">
        <f>июнь!F8</f>
        <v>180</v>
      </c>
      <c r="G8" s="6">
        <f>июнь!G8</f>
        <v>0</v>
      </c>
      <c r="H8" s="2"/>
      <c r="I8" s="10">
        <f>июнь!I8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июль!C7+14</f>
        <v>76</v>
      </c>
      <c r="D7" s="2"/>
      <c r="E7" s="2"/>
      <c r="F7" s="6">
        <f>июль!F7+204</f>
        <v>987</v>
      </c>
      <c r="G7" s="6"/>
      <c r="H7" s="2"/>
      <c r="I7" s="10">
        <f>июль!I7+102.6588/1.2</f>
        <v>1561.7956666666666</v>
      </c>
      <c r="J7" s="10"/>
      <c r="K7" s="2"/>
      <c r="M7" s="11">
        <f>I7+I8+J8+J11+I11</f>
        <v>1888.1606333333334</v>
      </c>
      <c r="N7" s="12">
        <f>M7*1.2</f>
        <v>2265.7927599999998</v>
      </c>
    </row>
    <row r="8" spans="1:16" x14ac:dyDescent="0.25">
      <c r="A8" s="1">
        <v>2</v>
      </c>
      <c r="B8" s="2" t="s">
        <v>11</v>
      </c>
      <c r="C8" s="2">
        <f>июль!C8</f>
        <v>4</v>
      </c>
      <c r="D8" s="2">
        <f>июль!D8</f>
        <v>0</v>
      </c>
      <c r="E8" s="2"/>
      <c r="F8" s="6">
        <f>июль!F8</f>
        <v>180</v>
      </c>
      <c r="G8" s="6">
        <f>июль!G8</f>
        <v>0</v>
      </c>
      <c r="H8" s="2"/>
      <c r="I8" s="10">
        <f>июль!I8</f>
        <v>326.36496666666665</v>
      </c>
      <c r="J8" s="10">
        <f>июль!J8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0</v>
      </c>
      <c r="D11" s="2">
        <f>июль!D11</f>
        <v>0</v>
      </c>
      <c r="E11" s="2"/>
      <c r="F11" s="2">
        <f>июль!F11</f>
        <v>0</v>
      </c>
      <c r="G11" s="6">
        <f>июль!G11</f>
        <v>0</v>
      </c>
      <c r="H11" s="2"/>
      <c r="I11" s="10">
        <f>июль!I11</f>
        <v>0</v>
      </c>
      <c r="J11" s="10">
        <f>июль!J11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view="pageBreakPreview" zoomScaleNormal="100" zoomScaleSheetLayoutView="100" workbookViewId="0">
      <selection activeCell="D14" sqref="D14:D15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август!C7+15</f>
        <v>91</v>
      </c>
      <c r="D7" s="2"/>
      <c r="E7" s="2"/>
      <c r="F7" s="6">
        <f>август!F7+175</f>
        <v>1162</v>
      </c>
      <c r="G7" s="6"/>
      <c r="H7" s="2"/>
      <c r="I7" s="10">
        <f>август!I7+396.42592/1.2</f>
        <v>1892.1505999999999</v>
      </c>
      <c r="J7" s="10"/>
      <c r="K7" s="2"/>
      <c r="M7" s="11">
        <f>I7+I8+J8+J11+I11</f>
        <v>2389.7530666666662</v>
      </c>
      <c r="N7" s="12">
        <f>M7*1.2</f>
        <v>2867.7036799999992</v>
      </c>
    </row>
    <row r="8" spans="1:16" x14ac:dyDescent="0.25">
      <c r="A8" s="1">
        <v>2</v>
      </c>
      <c r="B8" s="2" t="s">
        <v>11</v>
      </c>
      <c r="C8" s="2">
        <f>август!C8+1</f>
        <v>5</v>
      </c>
      <c r="D8" s="2">
        <f>август!D8</f>
        <v>0</v>
      </c>
      <c r="E8" s="2"/>
      <c r="F8" s="6">
        <f>август!F8+50</f>
        <v>230</v>
      </c>
      <c r="G8" s="6">
        <f>август!G8</f>
        <v>0</v>
      </c>
      <c r="H8" s="2"/>
      <c r="I8" s="10">
        <f>август!I8+17.1906/1.2</f>
        <v>340.69046666666662</v>
      </c>
      <c r="J8" s="10">
        <f>август!J8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0</v>
      </c>
      <c r="D11" s="2">
        <f>август!D11+1</f>
        <v>1</v>
      </c>
      <c r="E11" s="2"/>
      <c r="F11" s="2">
        <f>август!F11</f>
        <v>0</v>
      </c>
      <c r="G11" s="6">
        <f>август!G11+400</f>
        <v>400</v>
      </c>
      <c r="H11" s="2"/>
      <c r="I11" s="10">
        <f>август!I11</f>
        <v>0</v>
      </c>
      <c r="J11" s="10">
        <f>август!J11+188.2944/1.2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2023-08-01T03:43:22Z</dcterms:modified>
</cp:coreProperties>
</file>