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"/>
    </mc:Choice>
  </mc:AlternateContent>
  <xr:revisionPtr revIDLastSave="0" documentId="13_ncr:1_{32B3EEF1-9162-43E1-8A08-F102DE23B3D2}" xr6:coauthVersionLast="47" xr6:coauthVersionMax="47" xr10:uidLastSave="{00000000-0000-0000-0000-000000000000}"/>
  <bookViews>
    <workbookView xWindow="1500" yWindow="555" windowWidth="13290" windowHeight="13230" firstSheet="2" activeTab="2" xr2:uid="{00000000-000D-0000-FFFF-FFFF00000000}"/>
  </bookViews>
  <sheets>
    <sheet name="январь" sheetId="2" state="hidden" r:id="rId1"/>
    <sheet name="февраль" sheetId="3" state="hidden" r:id="rId2"/>
    <sheet name="март" sheetId="4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" l="1"/>
  <c r="I8" i="4"/>
  <c r="F8" i="4"/>
  <c r="C8" i="4"/>
  <c r="I7" i="4"/>
  <c r="F7" i="4"/>
  <c r="C7" i="4"/>
  <c r="J7" i="4"/>
  <c r="G7" i="4"/>
  <c r="D7" i="4"/>
  <c r="J7" i="3"/>
  <c r="M7" i="3" s="1"/>
  <c r="I8" i="3"/>
  <c r="F8" i="3"/>
  <c r="C8" i="3"/>
  <c r="I7" i="3"/>
  <c r="F7" i="3"/>
  <c r="C7" i="3"/>
  <c r="I8" i="2" l="1"/>
  <c r="F8" i="2"/>
  <c r="I7" i="2"/>
  <c r="F7" i="2"/>
  <c r="I11" i="13"/>
  <c r="F11" i="13" l="1"/>
  <c r="C11" i="13"/>
  <c r="I11" i="12"/>
  <c r="F11" i="12"/>
  <c r="C11" i="12"/>
  <c r="I11" i="11"/>
  <c r="F11" i="11"/>
  <c r="C11" i="11"/>
  <c r="I11" i="10"/>
  <c r="F11" i="10"/>
  <c r="C11" i="10"/>
  <c r="I11" i="9"/>
  <c r="F11" i="9"/>
  <c r="C11" i="9"/>
  <c r="I11" i="8"/>
  <c r="F11" i="8"/>
  <c r="C11" i="8"/>
  <c r="I11" i="7"/>
  <c r="C11" i="7"/>
  <c r="F11" i="7"/>
  <c r="I11" i="6"/>
  <c r="J8" i="5" l="1"/>
  <c r="J8" i="6" s="1"/>
  <c r="J8" i="7" s="1"/>
  <c r="J8" i="8" s="1"/>
  <c r="J8" i="9" s="1"/>
  <c r="J8" i="10" s="1"/>
  <c r="J8" i="11" s="1"/>
  <c r="J8" i="12" s="1"/>
  <c r="J8" i="13" s="1"/>
  <c r="I8" i="5"/>
  <c r="I8" i="6" s="1"/>
  <c r="I8" i="7" s="1"/>
  <c r="I8" i="8" s="1"/>
  <c r="I8" i="9" s="1"/>
  <c r="I8" i="10" s="1"/>
  <c r="I8" i="11" s="1"/>
  <c r="I8" i="12" s="1"/>
  <c r="I8" i="13" s="1"/>
  <c r="F8" i="5"/>
  <c r="F8" i="6" s="1"/>
  <c r="F8" i="7" s="1"/>
  <c r="F8" i="8" s="1"/>
  <c r="F8" i="9" s="1"/>
  <c r="F8" i="10" s="1"/>
  <c r="F8" i="11" s="1"/>
  <c r="F8" i="12" s="1"/>
  <c r="F8" i="13" s="1"/>
  <c r="I7" i="5"/>
  <c r="I7" i="6" s="1"/>
  <c r="I7" i="7" s="1"/>
  <c r="I7" i="8" s="1"/>
  <c r="F7" i="5"/>
  <c r="F7" i="6" s="1"/>
  <c r="F7" i="7" s="1"/>
  <c r="F7" i="8" s="1"/>
  <c r="F7" i="9" s="1"/>
  <c r="F7" i="10" s="1"/>
  <c r="F7" i="11" s="1"/>
  <c r="F7" i="12" s="1"/>
  <c r="F7" i="13" s="1"/>
  <c r="C7" i="5"/>
  <c r="C7" i="6" s="1"/>
  <c r="C7" i="7" s="1"/>
  <c r="C7" i="8" s="1"/>
  <c r="C7" i="9" s="1"/>
  <c r="C7" i="10" s="1"/>
  <c r="C7" i="11" s="1"/>
  <c r="C7" i="12" s="1"/>
  <c r="C7" i="13" s="1"/>
  <c r="G11" i="5"/>
  <c r="G11" i="6" s="1"/>
  <c r="G11" i="7" s="1"/>
  <c r="G11" i="8" s="1"/>
  <c r="G11" i="9" s="1"/>
  <c r="G11" i="10" s="1"/>
  <c r="G11" i="11" s="1"/>
  <c r="G11" i="12" s="1"/>
  <c r="G11" i="13" s="1"/>
  <c r="D8" i="5"/>
  <c r="D8" i="6" s="1"/>
  <c r="D8" i="7" s="1"/>
  <c r="D8" i="8" s="1"/>
  <c r="D8" i="9" s="1"/>
  <c r="D8" i="10" s="1"/>
  <c r="D8" i="11" s="1"/>
  <c r="D8" i="12" s="1"/>
  <c r="D8" i="13" s="1"/>
  <c r="C8" i="5"/>
  <c r="C8" i="6" s="1"/>
  <c r="C8" i="7" s="1"/>
  <c r="C8" i="8" s="1"/>
  <c r="C8" i="9" s="1"/>
  <c r="C8" i="10" s="1"/>
  <c r="C8" i="11" s="1"/>
  <c r="C8" i="12" s="1"/>
  <c r="C8" i="13" s="1"/>
  <c r="I7" i="9" l="1"/>
  <c r="G8" i="6"/>
  <c r="G8" i="7" s="1"/>
  <c r="G8" i="8" s="1"/>
  <c r="G8" i="9" s="1"/>
  <c r="G8" i="10" s="1"/>
  <c r="G8" i="11" s="1"/>
  <c r="G8" i="12" s="1"/>
  <c r="G8" i="13" s="1"/>
  <c r="G8" i="5"/>
  <c r="I7" i="10" l="1"/>
  <c r="D11" i="4"/>
  <c r="D11" i="5" s="1"/>
  <c r="D11" i="6" s="1"/>
  <c r="D11" i="7" s="1"/>
  <c r="D11" i="8" s="1"/>
  <c r="D11" i="9" s="1"/>
  <c r="D11" i="10" s="1"/>
  <c r="D11" i="11" s="1"/>
  <c r="D11" i="12" s="1"/>
  <c r="D11" i="13" s="1"/>
  <c r="I7" i="11" l="1"/>
  <c r="M7" i="2"/>
  <c r="N7" i="2"/>
  <c r="I7" i="12" l="1"/>
  <c r="N7" i="3"/>
  <c r="I7" i="13" l="1"/>
  <c r="J11" i="5"/>
  <c r="N7" i="4"/>
  <c r="J11" i="6" l="1"/>
  <c r="M7" i="5"/>
  <c r="N7" i="5" s="1"/>
  <c r="J11" i="7" l="1"/>
  <c r="M7" i="6"/>
  <c r="N7" i="6" s="1"/>
  <c r="M7" i="7" l="1"/>
  <c r="N7" i="7" s="1"/>
  <c r="J11" i="8"/>
  <c r="J11" i="9" l="1"/>
  <c r="M7" i="8"/>
  <c r="N7" i="8" s="1"/>
  <c r="J11" i="10" l="1"/>
  <c r="M7" i="9"/>
  <c r="N7" i="9" s="1"/>
  <c r="J11" i="11" l="1"/>
  <c r="M7" i="10"/>
  <c r="N7" i="10" s="1"/>
  <c r="J11" i="12" l="1"/>
  <c r="M7" i="11"/>
  <c r="N7" i="11" s="1"/>
  <c r="J11" i="13" l="1"/>
  <c r="M7" i="13" s="1"/>
  <c r="N7" i="13" s="1"/>
  <c r="M7" i="12"/>
  <c r="N7" i="12" s="1"/>
</calcChain>
</file>

<file path=xl/sharedStrings.xml><?xml version="1.0" encoding="utf-8"?>
<sst xmlns="http://schemas.openxmlformats.org/spreadsheetml/2006/main" count="348" uniqueCount="31">
  <si>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</si>
  <si>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</si>
  <si>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</si>
  <si>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</si>
  <si>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</si>
  <si>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</si>
  <si>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</si>
  <si>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</si>
  <si>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</si>
  <si>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</si>
  <si>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</si>
  <si>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</si>
  <si>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</si>
  <si>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</si>
  <si>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</si>
  <si>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</si>
  <si>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</si>
  <si>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</si>
  <si>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</si>
  <si>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</si>
  <si>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</si>
  <si>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</si>
  <si>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</si>
  <si>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сентябрь 2022 года</t>
  </si>
  <si>
    <t>ИНФОРМАЦИЯ
об осуществлении технологического присоединения
по договорам, заключенным ООО ЭСК "Энергия"
за октябрь 2022 года</t>
  </si>
  <si>
    <t>ИНФОРМАЦИЯ
об осуществлении технологического присоединения
по договорам, заключенным ООО ЭСК "Энергия"
за ноябрь 2022 года</t>
  </si>
  <si>
    <t>ИНФОРМАЦИЯ
об осуществлении технологического присоединения
по договорам, заключенным ООО ЭСК "Энергия"
за декабрь 2022 года</t>
  </si>
  <si>
    <t>ИНФОРМАЦИЯ
об осуществлении технологического присоединения
по договорам, заключенным ООО ЭСК "Энергия"
за январь 2023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</si>
  <si>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</si>
  <si>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февраль 2023 года</t>
  </si>
  <si>
    <t>ИНФОРМАЦИЯ
об осуществлении технологического присоединения
по договорам, заключенным ООО ЭСК "Энергия"
за март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</si>
</sst>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4" fillId="0" borderId="2" xfId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vertical="center" wrapText="1"/>
    </xf>
    <xf numFmtId="165" fontId="0" fillId="0" borderId="0" xfId="0" applyNumberFormat="1"/>
    <xf numFmtId="4" fontId="3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v>4</v>
      </c>
      <c r="D7" s="2"/>
      <c r="E7" s="2"/>
      <c r="F7" s="6">
        <f>48</f>
        <v>48</v>
      </c>
      <c r="G7" s="6"/>
      <c r="H7" s="2"/>
      <c r="I7" s="3">
        <f>72/1.2</f>
        <v>60</v>
      </c>
      <c r="J7" s="2"/>
      <c r="K7" s="2"/>
      <c r="M7" s="7">
        <f>I7+I8+J8+J11</f>
        <v>98.864966666666675</v>
      </c>
      <c r="N7">
        <f>M7*1.2</f>
        <v>118.63796000000001</v>
      </c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6">
        <f>50</f>
        <v>50</v>
      </c>
      <c r="G8" s="6"/>
      <c r="H8" s="2"/>
      <c r="I8" s="3">
        <f>46.63796/1.2</f>
        <v>38.864966666666668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D1" zoomScaleNormal="100" zoomScaleSheetLayoutView="100" workbookViewId="0">
      <selection activeCell="H14" sqref="H14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сентябрь!C7+9</f>
        <v>113</v>
      </c>
      <c r="D7" s="2"/>
      <c r="E7" s="2"/>
      <c r="F7" s="6">
        <f>сентябрь!F7+92.2</f>
        <v>1469.2</v>
      </c>
      <c r="G7" s="6"/>
      <c r="H7" s="2"/>
      <c r="I7" s="10">
        <f>сентябрь!I7+217.1/1.2</f>
        <v>1071.8506000000002</v>
      </c>
      <c r="J7" s="10"/>
      <c r="K7" s="2"/>
      <c r="M7" s="11">
        <f>I7+I8+J8+J11+I11</f>
        <v>6951.9883083333334</v>
      </c>
      <c r="N7" s="12">
        <f>M7*1.2</f>
        <v>8342.3859699999994</v>
      </c>
    </row>
    <row r="8" spans="1:16" x14ac:dyDescent="0.25">
      <c r="A8" s="1">
        <v>2</v>
      </c>
      <c r="B8" s="2" t="s">
        <v>11</v>
      </c>
      <c r="C8" s="2">
        <f>сентябрь!C8</f>
        <v>9</v>
      </c>
      <c r="D8" s="2">
        <f>сентябрь!D8</f>
        <v>1</v>
      </c>
      <c r="E8" s="2"/>
      <c r="F8" s="6">
        <f>сентябрь!F8</f>
        <v>572.9</v>
      </c>
      <c r="G8" s="6">
        <f>сентябрь!G8</f>
        <v>150</v>
      </c>
      <c r="H8" s="2"/>
      <c r="I8" s="10">
        <f>сентябрь!I8</f>
        <v>563.39232500000003</v>
      </c>
      <c r="J8" s="10">
        <f>сентябрь!J8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сентябрь!C11</f>
        <v>2</v>
      </c>
      <c r="D11" s="2">
        <f>сентябрь!D11</f>
        <v>2</v>
      </c>
      <c r="E11" s="2"/>
      <c r="F11" s="2">
        <f>сентябрь!F11</f>
        <v>499.8</v>
      </c>
      <c r="G11" s="6">
        <f>сентябрь!G11</f>
        <v>400</v>
      </c>
      <c r="H11" s="2"/>
      <c r="I11" s="10">
        <f>сентябрь!I11</f>
        <v>4620.6872000000003</v>
      </c>
      <c r="J11" s="10">
        <f>сентябрь!J11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C1" zoomScaleNormal="100" zoomScaleSheetLayoutView="100" workbookViewId="0">
      <selection activeCell="N8" sqref="N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октябрь!C7+5</f>
        <v>118</v>
      </c>
      <c r="D7" s="2"/>
      <c r="E7" s="2"/>
      <c r="F7" s="6">
        <f>октябрь!F7+61</f>
        <v>1530.2</v>
      </c>
      <c r="G7" s="6"/>
      <c r="H7" s="2"/>
      <c r="I7" s="10">
        <f>октябрь!I7+138.55/1.2</f>
        <v>1187.3089333333335</v>
      </c>
      <c r="J7" s="10"/>
      <c r="K7" s="2"/>
      <c r="M7" s="11">
        <f>I7+I8+J8+J11+I11</f>
        <v>7161.879116666667</v>
      </c>
      <c r="N7" s="12">
        <f>M7*1.2</f>
        <v>8594.2549400000007</v>
      </c>
    </row>
    <row r="8" spans="1:16" x14ac:dyDescent="0.25">
      <c r="A8" s="1">
        <v>2</v>
      </c>
      <c r="B8" s="2" t="s">
        <v>11</v>
      </c>
      <c r="C8" s="2">
        <f>октябрь!C8+2</f>
        <v>11</v>
      </c>
      <c r="D8" s="2">
        <f>октябрь!D8</f>
        <v>1</v>
      </c>
      <c r="E8" s="2"/>
      <c r="F8" s="6">
        <f>октябрь!F8+55</f>
        <v>627.9</v>
      </c>
      <c r="G8" s="6">
        <f>октябрь!G8</f>
        <v>150</v>
      </c>
      <c r="H8" s="2"/>
      <c r="I8" s="10">
        <f>октябрь!I8+113.31897/1.2</f>
        <v>657.82479999999998</v>
      </c>
      <c r="J8" s="10">
        <f>октябрь!J8</f>
        <v>539.1461833333334</v>
      </c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октябрь!C11</f>
        <v>2</v>
      </c>
      <c r="D11" s="2">
        <f>октябрь!D11</f>
        <v>2</v>
      </c>
      <c r="E11" s="2"/>
      <c r="F11" s="2">
        <f>октябрь!F11</f>
        <v>499.8</v>
      </c>
      <c r="G11" s="6">
        <f>октябрь!G11</f>
        <v>400</v>
      </c>
      <c r="H11" s="2"/>
      <c r="I11" s="10">
        <f>октябрь!I11</f>
        <v>4620.6872000000003</v>
      </c>
      <c r="J11" s="10">
        <f>октябрь!J11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topLeftCell="A3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</cols>
  <sheetData>
    <row r="1" spans="1:16" ht="81.75" customHeight="1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ноябрь!C7+12</f>
        <v>130</v>
      </c>
      <c r="D7" s="2"/>
      <c r="E7" s="2"/>
      <c r="F7" s="6">
        <f>ноябрь!F7+180</f>
        <v>1710.2</v>
      </c>
      <c r="G7" s="6"/>
      <c r="H7" s="2"/>
      <c r="I7" s="10">
        <f>ноябрь!I7+357.15/1.2</f>
        <v>1484.9339333333335</v>
      </c>
      <c r="J7" s="10"/>
      <c r="K7" s="2"/>
      <c r="M7" s="11">
        <f>I7+I8+J8+J11+I11</f>
        <v>7721.3158166666672</v>
      </c>
      <c r="N7" s="12">
        <f>M7*1.2</f>
        <v>9265.5789800000002</v>
      </c>
    </row>
    <row r="8" spans="1:16" x14ac:dyDescent="0.25">
      <c r="A8" s="1">
        <v>2</v>
      </c>
      <c r="B8" s="2" t="s">
        <v>11</v>
      </c>
      <c r="C8" s="2">
        <f>ноябрь!C8+1</f>
        <v>12</v>
      </c>
      <c r="D8" s="2">
        <f>ноябрь!D8</f>
        <v>1</v>
      </c>
      <c r="E8" s="2"/>
      <c r="F8" s="6">
        <f>ноябрь!F8+24</f>
        <v>651.9</v>
      </c>
      <c r="G8" s="6">
        <f>ноябрь!G8</f>
        <v>150</v>
      </c>
      <c r="H8" s="2"/>
      <c r="I8" s="10">
        <f>ноябрь!I8+72/1.2</f>
        <v>717.82479999999998</v>
      </c>
      <c r="J8" s="10">
        <f>ноябрь!J8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ноябрь!C11+2</f>
        <v>4</v>
      </c>
      <c r="D11" s="2">
        <f>ноябрь!D11</f>
        <v>2</v>
      </c>
      <c r="E11" s="2"/>
      <c r="F11" s="2">
        <f>ноябрь!F11+365</f>
        <v>864.8</v>
      </c>
      <c r="G11" s="6">
        <f>ноябрь!G11</f>
        <v>400</v>
      </c>
      <c r="H11" s="2"/>
      <c r="I11" s="10">
        <f>ноябрь!I11+242.17404/1.2</f>
        <v>4822.4989000000005</v>
      </c>
      <c r="J11" s="10">
        <f>ноябрь!J11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январь!C7+8</f>
        <v>12</v>
      </c>
      <c r="D7" s="2">
        <v>1</v>
      </c>
      <c r="E7" s="2"/>
      <c r="F7" s="6">
        <f>январь!F7+110</f>
        <v>158</v>
      </c>
      <c r="G7" s="6">
        <v>15</v>
      </c>
      <c r="H7" s="2"/>
      <c r="I7" s="3">
        <f>январь!I7+279.51/1.2</f>
        <v>292.92500000000001</v>
      </c>
      <c r="J7" s="3">
        <f>0.55/1.2</f>
        <v>0.45833333333333337</v>
      </c>
      <c r="K7" s="2"/>
      <c r="M7" s="9">
        <f>I7+I8+J8+J7</f>
        <v>419.74830000000003</v>
      </c>
      <c r="N7">
        <f>M7*1.2</f>
        <v>503.69796000000002</v>
      </c>
    </row>
    <row r="8" spans="1:16" x14ac:dyDescent="0.25">
      <c r="A8" s="1">
        <v>2</v>
      </c>
      <c r="B8" s="2" t="s">
        <v>11</v>
      </c>
      <c r="C8" s="2">
        <f>январь!C8+1</f>
        <v>3</v>
      </c>
      <c r="D8" s="2"/>
      <c r="E8" s="2"/>
      <c r="F8" s="6">
        <f>январь!F8+50</f>
        <v>100</v>
      </c>
      <c r="G8" s="6"/>
      <c r="H8" s="2"/>
      <c r="I8" s="3">
        <f>январь!I8+105/1.2</f>
        <v>126.36496666666667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tabSelected="1" view="pageBreakPreview" zoomScaleNormal="100" zoomScaleSheetLayoutView="100" workbookViewId="0">
      <selection activeCell="C12" sqref="C11:C12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февраль!C7+8</f>
        <v>20</v>
      </c>
      <c r="D7" s="2">
        <f>февраль!D7</f>
        <v>1</v>
      </c>
      <c r="E7" s="2"/>
      <c r="F7" s="6">
        <f>февраль!F7+96</f>
        <v>254</v>
      </c>
      <c r="G7" s="6">
        <f>февраль!G7</f>
        <v>15</v>
      </c>
      <c r="H7" s="2"/>
      <c r="I7" s="3">
        <f>февраль!I7+188.276/1.2</f>
        <v>449.82166666666672</v>
      </c>
      <c r="J7" s="3">
        <f>февраль!J7</f>
        <v>0.45833333333333337</v>
      </c>
      <c r="K7" s="2"/>
      <c r="M7" s="9">
        <f>I7+I8+J7+J11</f>
        <v>776.64496666666673</v>
      </c>
      <c r="N7">
        <f>M7*1.2</f>
        <v>931.97396000000003</v>
      </c>
    </row>
    <row r="8" spans="1:16" x14ac:dyDescent="0.25">
      <c r="A8" s="1">
        <v>2</v>
      </c>
      <c r="B8" s="2" t="s">
        <v>11</v>
      </c>
      <c r="C8" s="2">
        <f>февраль!C8+1</f>
        <v>4</v>
      </c>
      <c r="D8" s="2"/>
      <c r="E8" s="2"/>
      <c r="F8" s="6">
        <f>февраль!F8+80</f>
        <v>180</v>
      </c>
      <c r="G8" s="6"/>
      <c r="H8" s="2"/>
      <c r="I8" s="3">
        <f>февраль!I8+240/1.2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февраль!D11+1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topLeftCell="B1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март!C7+19</f>
        <v>39</v>
      </c>
      <c r="D7" s="2"/>
      <c r="E7" s="2"/>
      <c r="F7" s="6">
        <f>март!F7+237</f>
        <v>491</v>
      </c>
      <c r="G7" s="6"/>
      <c r="H7" s="2"/>
      <c r="I7" s="3">
        <f>март!I7+0.55*19/1.2</f>
        <v>458.53000000000003</v>
      </c>
      <c r="J7" s="2"/>
      <c r="K7" s="2"/>
      <c r="M7" s="9">
        <f>I7+I8+J8+J11</f>
        <v>784.89496666666673</v>
      </c>
      <c r="N7" s="9">
        <f>M7*1.2</f>
        <v>941.87396000000001</v>
      </c>
    </row>
    <row r="8" spans="1:16" x14ac:dyDescent="0.25">
      <c r="A8" s="1">
        <v>2</v>
      </c>
      <c r="B8" s="2" t="s">
        <v>11</v>
      </c>
      <c r="C8" s="2">
        <f>март!C8</f>
        <v>4</v>
      </c>
      <c r="D8" s="2">
        <f>март!D8</f>
        <v>0</v>
      </c>
      <c r="E8" s="2"/>
      <c r="F8" s="6">
        <f>март!F8</f>
        <v>180</v>
      </c>
      <c r="G8" s="6">
        <f>март!G8</f>
        <v>0</v>
      </c>
      <c r="H8" s="2"/>
      <c r="I8" s="3">
        <f>март!I8</f>
        <v>326.36496666666665</v>
      </c>
      <c r="J8" s="3">
        <f>март!J8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март!D11</f>
        <v>1</v>
      </c>
      <c r="E11" s="2"/>
      <c r="F11" s="2"/>
      <c r="G11" s="6">
        <f>март!G11</f>
        <v>0</v>
      </c>
      <c r="H11" s="2"/>
      <c r="I11" s="2"/>
      <c r="J11" s="3">
        <f>март!J11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апрель!C7+11</f>
        <v>50</v>
      </c>
      <c r="D7" s="2"/>
      <c r="E7" s="2"/>
      <c r="F7" s="6">
        <f>апрель!F7+132</f>
        <v>623</v>
      </c>
      <c r="G7" s="6"/>
      <c r="H7" s="2"/>
      <c r="I7" s="10">
        <f>апрель!I7+(0.55*11)/1.2</f>
        <v>463.57166666666672</v>
      </c>
      <c r="J7" s="10"/>
      <c r="K7" s="2"/>
      <c r="M7" s="11">
        <f>I7+I8+J8+J11+I11</f>
        <v>5398.5932666666677</v>
      </c>
      <c r="N7" s="12">
        <f>M7*1.2</f>
        <v>6478.311920000001</v>
      </c>
    </row>
    <row r="8" spans="1:16" x14ac:dyDescent="0.25">
      <c r="A8" s="1">
        <v>2</v>
      </c>
      <c r="B8" s="2" t="s">
        <v>11</v>
      </c>
      <c r="C8" s="2">
        <f>апрель!C8</f>
        <v>4</v>
      </c>
      <c r="D8" s="2">
        <f>апрель!D8</f>
        <v>0</v>
      </c>
      <c r="E8" s="2"/>
      <c r="F8" s="6">
        <f>апрель!F8</f>
        <v>180</v>
      </c>
      <c r="G8" s="6">
        <f>март!G8</f>
        <v>0</v>
      </c>
      <c r="H8" s="2"/>
      <c r="I8" s="10">
        <f>апрель!I8</f>
        <v>326.36496666666665</v>
      </c>
      <c r="J8" s="10">
        <f>апрель!J8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v>1</v>
      </c>
      <c r="D11" s="2">
        <f>апрель!D11</f>
        <v>1</v>
      </c>
      <c r="E11" s="2"/>
      <c r="F11" s="2">
        <v>239.8</v>
      </c>
      <c r="G11" s="6">
        <f>апрель!G11</f>
        <v>0</v>
      </c>
      <c r="H11" s="2"/>
      <c r="I11" s="10">
        <f>5530.38796/1.2</f>
        <v>4608.656633333334</v>
      </c>
      <c r="J11" s="10">
        <f>апрель!J11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май!C7+14</f>
        <v>64</v>
      </c>
      <c r="D7" s="2"/>
      <c r="E7" s="2"/>
      <c r="F7" s="6">
        <f>май!F7+210</f>
        <v>833</v>
      </c>
      <c r="G7" s="6"/>
      <c r="H7" s="2"/>
      <c r="I7" s="10">
        <f>май!I7+(0.55*14)/1.2</f>
        <v>469.9883333333334</v>
      </c>
      <c r="J7" s="10"/>
      <c r="K7" s="2"/>
      <c r="M7" s="11">
        <f>I7+I8+J8+J11+I11</f>
        <v>5575.3887916666672</v>
      </c>
      <c r="N7" s="12">
        <f>M7*1.2</f>
        <v>6690.4665500000001</v>
      </c>
    </row>
    <row r="8" spans="1:16" x14ac:dyDescent="0.25">
      <c r="A8" s="1">
        <v>2</v>
      </c>
      <c r="B8" s="2" t="s">
        <v>11</v>
      </c>
      <c r="C8" s="2">
        <f>май!C8+3</f>
        <v>7</v>
      </c>
      <c r="D8" s="2">
        <f>май!D8</f>
        <v>0</v>
      </c>
      <c r="E8" s="2"/>
      <c r="F8" s="6">
        <f>май!F8+192.9</f>
        <v>372.9</v>
      </c>
      <c r="G8" s="6">
        <f>май!G8</f>
        <v>0</v>
      </c>
      <c r="H8" s="2"/>
      <c r="I8" s="10">
        <f>май!I8+204.45463/1.2</f>
        <v>496.74382500000002</v>
      </c>
      <c r="J8" s="10">
        <f>май!J8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май!C11</f>
        <v>1</v>
      </c>
      <c r="D11" s="2">
        <f>май!D11</f>
        <v>1</v>
      </c>
      <c r="E11" s="2"/>
      <c r="F11" s="2">
        <f>май!F11</f>
        <v>239.8</v>
      </c>
      <c r="G11" s="6">
        <f>май!G11</f>
        <v>0</v>
      </c>
      <c r="H11" s="2"/>
      <c r="I11" s="10">
        <f>май!I11</f>
        <v>4608.656633333334</v>
      </c>
      <c r="J11" s="10">
        <f>май!J11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G11" sqref="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июнь!C7+11</f>
        <v>75</v>
      </c>
      <c r="D7" s="2"/>
      <c r="E7" s="2"/>
      <c r="F7" s="6">
        <f>июнь!F7+165</f>
        <v>998</v>
      </c>
      <c r="G7" s="6"/>
      <c r="H7" s="2"/>
      <c r="I7" s="10">
        <f>июнь!I7+(0.55*11)/1.2</f>
        <v>475.03000000000009</v>
      </c>
      <c r="J7" s="10"/>
      <c r="K7" s="2"/>
      <c r="M7" s="11">
        <f>I7+I8+J8+J11+I11</f>
        <v>6183.9302083333332</v>
      </c>
      <c r="N7" s="12">
        <f>M7*1.2</f>
        <v>7420.7162499999995</v>
      </c>
    </row>
    <row r="8" spans="1:16" x14ac:dyDescent="0.25">
      <c r="A8" s="1">
        <v>2</v>
      </c>
      <c r="B8" s="2" t="s">
        <v>11</v>
      </c>
      <c r="C8" s="2">
        <f>июнь!C8+1</f>
        <v>8</v>
      </c>
      <c r="D8" s="2">
        <f>июнь!D8+1</f>
        <v>1</v>
      </c>
      <c r="E8" s="2"/>
      <c r="F8" s="6">
        <f>июнь!F8+150</f>
        <v>522.9</v>
      </c>
      <c r="G8" s="6">
        <f>июнь!G8+150</f>
        <v>150</v>
      </c>
      <c r="H8" s="2"/>
      <c r="I8" s="10">
        <f>июнь!I8+62.7876/1.2</f>
        <v>549.06682499999999</v>
      </c>
      <c r="J8" s="10">
        <f>июнь!J8+646.97542/1.2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июнь!C11+1</f>
        <v>2</v>
      </c>
      <c r="D11" s="2">
        <f>июнь!D11</f>
        <v>1</v>
      </c>
      <c r="E11" s="2"/>
      <c r="F11" s="2">
        <f>июнь!F11+260</f>
        <v>499.8</v>
      </c>
      <c r="G11" s="6">
        <f>июнь!G11</f>
        <v>0</v>
      </c>
      <c r="H11" s="2"/>
      <c r="I11" s="10">
        <f>июнь!I11+14.43668/1.2</f>
        <v>4620.6872000000003</v>
      </c>
      <c r="J11" s="10">
        <f>июнь!J11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июль!C7+14</f>
        <v>89</v>
      </c>
      <c r="D7" s="2"/>
      <c r="E7" s="2"/>
      <c r="F7" s="6">
        <f>июль!F7+204</f>
        <v>1202</v>
      </c>
      <c r="G7" s="6"/>
      <c r="H7" s="2"/>
      <c r="I7" s="10">
        <f>июль!I7+102.6588/1.2</f>
        <v>560.57900000000006</v>
      </c>
      <c r="J7" s="10"/>
      <c r="K7" s="2"/>
      <c r="M7" s="11">
        <f>I7+I8+J8+J11+I11</f>
        <v>6269.4792083333341</v>
      </c>
      <c r="N7" s="12">
        <f>M7*1.2</f>
        <v>7523.3750500000006</v>
      </c>
    </row>
    <row r="8" spans="1:16" x14ac:dyDescent="0.25">
      <c r="A8" s="1">
        <v>2</v>
      </c>
      <c r="B8" s="2" t="s">
        <v>11</v>
      </c>
      <c r="C8" s="2">
        <f>июль!C8</f>
        <v>8</v>
      </c>
      <c r="D8" s="2">
        <f>июль!D8</f>
        <v>1</v>
      </c>
      <c r="E8" s="2"/>
      <c r="F8" s="6">
        <f>июль!F8</f>
        <v>522.9</v>
      </c>
      <c r="G8" s="6">
        <f>июль!G8</f>
        <v>150</v>
      </c>
      <c r="H8" s="2"/>
      <c r="I8" s="10">
        <f>июль!I8</f>
        <v>549.06682499999999</v>
      </c>
      <c r="J8" s="10">
        <f>июль!J8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2</v>
      </c>
      <c r="D11" s="2">
        <f>июль!D11</f>
        <v>1</v>
      </c>
      <c r="E11" s="2"/>
      <c r="F11" s="2">
        <f>июль!F11</f>
        <v>499.8</v>
      </c>
      <c r="G11" s="6">
        <f>июль!G11</f>
        <v>0</v>
      </c>
      <c r="H11" s="2"/>
      <c r="I11" s="10">
        <f>июль!I11</f>
        <v>4620.6872000000003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view="pageBreakPreview" zoomScaleNormal="100" zoomScaleSheetLayoutView="100" workbookViewId="0">
      <selection activeCell="D14" sqref="D14:D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август!C7+15</f>
        <v>104</v>
      </c>
      <c r="D7" s="2"/>
      <c r="E7" s="2"/>
      <c r="F7" s="6">
        <f>август!F7+175</f>
        <v>1377</v>
      </c>
      <c r="G7" s="6"/>
      <c r="H7" s="2"/>
      <c r="I7" s="10">
        <f>август!I7+396.42592/1.2</f>
        <v>890.93393333333347</v>
      </c>
      <c r="J7" s="10"/>
      <c r="K7" s="2"/>
      <c r="M7" s="11">
        <f>I7+I8+J8+J11+I11</f>
        <v>6771.0716416666673</v>
      </c>
      <c r="N7" s="12">
        <f>M7*1.2</f>
        <v>8125.2859700000008</v>
      </c>
    </row>
    <row r="8" spans="1:16" x14ac:dyDescent="0.25">
      <c r="A8" s="1">
        <v>2</v>
      </c>
      <c r="B8" s="2" t="s">
        <v>11</v>
      </c>
      <c r="C8" s="2">
        <f>август!C8+1</f>
        <v>9</v>
      </c>
      <c r="D8" s="2">
        <f>август!D8</f>
        <v>1</v>
      </c>
      <c r="E8" s="2"/>
      <c r="F8" s="6">
        <f>август!F8+50</f>
        <v>572.9</v>
      </c>
      <c r="G8" s="6">
        <f>август!G8</f>
        <v>150</v>
      </c>
      <c r="H8" s="2"/>
      <c r="I8" s="10">
        <f>август!I8+17.1906/1.2</f>
        <v>563.39232500000003</v>
      </c>
      <c r="J8" s="10">
        <f>август!J8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2</v>
      </c>
      <c r="D11" s="2">
        <f>август!D11+1</f>
        <v>2</v>
      </c>
      <c r="E11" s="2"/>
      <c r="F11" s="2">
        <f>август!F11</f>
        <v>499.8</v>
      </c>
      <c r="G11" s="6">
        <f>август!G11+400</f>
        <v>400</v>
      </c>
      <c r="H11" s="2"/>
      <c r="I11" s="10">
        <f>август!I11</f>
        <v>4620.6872000000003</v>
      </c>
      <c r="J11" s="10">
        <f>август!J11+188.2944/1.2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2023-04-05T02:13:42Z</dcterms:modified>
</cp:coreProperties>
</file>