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"/>
    </mc:Choice>
  </mc:AlternateContent>
  <xr:revisionPtr revIDLastSave="0" documentId="13_ncr:1_{9DBB5FE5-AA3F-4D2E-8091-7A97F96D1968}" xr6:coauthVersionLast="47" xr6:coauthVersionMax="47" xr10:uidLastSave="{00000000-0000-0000-0000-000000000000}"/>
  <bookViews>
    <workbookView xWindow="13155" yWindow="0" windowWidth="14475" windowHeight="14535" xr2:uid="{00000000-000D-0000-FFFF-FFFF00000000}"/>
  </bookViews>
  <sheets>
    <sheet name="январь" sheetId="2" r:id="rId1"/>
    <sheet name="февраль" sheetId="3" state="hidden" r:id="rId2"/>
    <sheet name="март" sheetId="4" state="hidden" r:id="rId3"/>
    <sheet name="апрель" sheetId="5" state="hidden" r:id="rId4"/>
    <sheet name="май" sheetId="6" state="hidden" r:id="rId5"/>
    <sheet name="июнь" sheetId="7" state="hidden" r:id="rId6"/>
    <sheet name="июль" sheetId="8" state="hidden" r:id="rId7"/>
    <sheet name="август" sheetId="9" state="hidden" r:id="rId8"/>
    <sheet name="сентябрь" sheetId="10" state="hidden" r:id="rId9"/>
    <sheet name="октябрь" sheetId="11" state="hidden" r:id="rId10"/>
    <sheet name="ноябрь" sheetId="12" state="hidden" r:id="rId11"/>
    <sheet name="декабрь" sheetId="13" state="hidden" r:id="rId12"/>
  </sheets>
  <definedNames>
    <definedName name="_xlnm.Print_Area" localSheetId="7">август!$A$1:$K$21</definedName>
    <definedName name="_xlnm.Print_Area" localSheetId="3">апрель!$A$1:$K$21</definedName>
    <definedName name="_xlnm.Print_Area" localSheetId="11">декабрь!$A$1:$K$21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10">ноябрь!$A$1:$K$21</definedName>
    <definedName name="_xlnm.Print_Area" localSheetId="9">октябрь!$A$1:$K$21</definedName>
    <definedName name="_xlnm.Print_Area" localSheetId="8">сентябрь!$A$1:$K$21</definedName>
    <definedName name="_xlnm.Print_Area" localSheetId="1">февраль!$A$1:$K$25</definedName>
    <definedName name="_xlnm.Print_Area" localSheetId="0">январь!$A$1:$K$21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F8" i="2"/>
  <c r="I7" i="2"/>
  <c r="F7" i="2"/>
  <c r="I11" i="13"/>
  <c r="F11" i="13" l="1"/>
  <c r="C11" i="13"/>
  <c r="I11" i="12"/>
  <c r="F11" i="12"/>
  <c r="C11" i="12"/>
  <c r="I11" i="11"/>
  <c r="F11" i="11"/>
  <c r="C11" i="11"/>
  <c r="I11" i="10"/>
  <c r="F11" i="10"/>
  <c r="C11" i="10"/>
  <c r="I11" i="9"/>
  <c r="F11" i="9"/>
  <c r="C11" i="9"/>
  <c r="I11" i="8"/>
  <c r="F11" i="8"/>
  <c r="C11" i="8"/>
  <c r="I11" i="7"/>
  <c r="C11" i="7"/>
  <c r="F11" i="7"/>
  <c r="I11" i="6"/>
  <c r="J8" i="3" l="1"/>
  <c r="J8" i="4" s="1"/>
  <c r="J8" i="5" s="1"/>
  <c r="J8" i="6" s="1"/>
  <c r="J8" i="7" s="1"/>
  <c r="J8" i="8" s="1"/>
  <c r="J8" i="9" s="1"/>
  <c r="J8" i="10" s="1"/>
  <c r="J8" i="11" s="1"/>
  <c r="J8" i="12" s="1"/>
  <c r="J8" i="13" s="1"/>
  <c r="I8" i="3"/>
  <c r="I8" i="4" s="1"/>
  <c r="I8" i="5" s="1"/>
  <c r="I8" i="6" s="1"/>
  <c r="I8" i="7" s="1"/>
  <c r="I8" i="8" s="1"/>
  <c r="I8" i="9" s="1"/>
  <c r="I8" i="10" s="1"/>
  <c r="I8" i="11" s="1"/>
  <c r="I8" i="12" s="1"/>
  <c r="I8" i="13" s="1"/>
  <c r="F8" i="3"/>
  <c r="F8" i="4" s="1"/>
  <c r="F8" i="5" s="1"/>
  <c r="F8" i="6" s="1"/>
  <c r="F8" i="7" s="1"/>
  <c r="F8" i="8" s="1"/>
  <c r="F8" i="9" s="1"/>
  <c r="F8" i="10" s="1"/>
  <c r="F8" i="11" s="1"/>
  <c r="F8" i="12" s="1"/>
  <c r="F8" i="13" s="1"/>
  <c r="I7" i="3"/>
  <c r="I7" i="4" s="1"/>
  <c r="I7" i="5" s="1"/>
  <c r="I7" i="6" s="1"/>
  <c r="I7" i="7" s="1"/>
  <c r="I7" i="8" s="1"/>
  <c r="F7" i="3"/>
  <c r="F7" i="4" s="1"/>
  <c r="F7" i="5" s="1"/>
  <c r="F7" i="6" s="1"/>
  <c r="F7" i="7" s="1"/>
  <c r="F7" i="8" s="1"/>
  <c r="F7" i="9" s="1"/>
  <c r="F7" i="10" s="1"/>
  <c r="F7" i="11" s="1"/>
  <c r="F7" i="12" s="1"/>
  <c r="F7" i="13" s="1"/>
  <c r="C7" i="3"/>
  <c r="C7" i="4" s="1"/>
  <c r="C7" i="5" s="1"/>
  <c r="C7" i="6" s="1"/>
  <c r="C7" i="7" s="1"/>
  <c r="C7" i="8" s="1"/>
  <c r="C7" i="9" s="1"/>
  <c r="C7" i="10" s="1"/>
  <c r="C7" i="11" s="1"/>
  <c r="C7" i="12" s="1"/>
  <c r="C7" i="13" s="1"/>
  <c r="G11" i="3"/>
  <c r="G11" i="4" s="1"/>
  <c r="G11" i="5" s="1"/>
  <c r="G11" i="6" s="1"/>
  <c r="G11" i="7" s="1"/>
  <c r="G11" i="8" s="1"/>
  <c r="G11" i="9" s="1"/>
  <c r="G11" i="10" s="1"/>
  <c r="G11" i="11" s="1"/>
  <c r="G11" i="12" s="1"/>
  <c r="G11" i="13" s="1"/>
  <c r="G8" i="3"/>
  <c r="G8" i="4" s="1"/>
  <c r="D8" i="3"/>
  <c r="D8" i="4" s="1"/>
  <c r="D8" i="5" s="1"/>
  <c r="D8" i="6" s="1"/>
  <c r="D8" i="7" s="1"/>
  <c r="D8" i="8" s="1"/>
  <c r="D8" i="9" s="1"/>
  <c r="D8" i="10" s="1"/>
  <c r="D8" i="11" s="1"/>
  <c r="D8" i="12" s="1"/>
  <c r="D8" i="13" s="1"/>
  <c r="C8" i="3"/>
  <c r="C8" i="4" s="1"/>
  <c r="C8" i="5" s="1"/>
  <c r="C8" i="6" s="1"/>
  <c r="C8" i="7" s="1"/>
  <c r="C8" i="8" s="1"/>
  <c r="C8" i="9" s="1"/>
  <c r="C8" i="10" s="1"/>
  <c r="C8" i="11" s="1"/>
  <c r="C8" i="12" s="1"/>
  <c r="C8" i="13" s="1"/>
  <c r="I7" i="9" l="1"/>
  <c r="G8" i="6"/>
  <c r="G8" i="7" s="1"/>
  <c r="G8" i="8" s="1"/>
  <c r="G8" i="9" s="1"/>
  <c r="G8" i="10" s="1"/>
  <c r="G8" i="11" s="1"/>
  <c r="G8" i="12" s="1"/>
  <c r="G8" i="13" s="1"/>
  <c r="G8" i="5"/>
  <c r="I7" i="10" l="1"/>
  <c r="D11" i="2"/>
  <c r="D11" i="3" s="1"/>
  <c r="D11" i="4" s="1"/>
  <c r="D11" i="5" s="1"/>
  <c r="D11" i="6" s="1"/>
  <c r="D11" i="7" s="1"/>
  <c r="D11" i="8" s="1"/>
  <c r="D11" i="9" s="1"/>
  <c r="D11" i="10" s="1"/>
  <c r="D11" i="11" s="1"/>
  <c r="D11" i="12" s="1"/>
  <c r="D11" i="13" s="1"/>
  <c r="I7" i="11" l="1"/>
  <c r="M7" i="2"/>
  <c r="J11" i="3"/>
  <c r="N7" i="2"/>
  <c r="I7" i="12" l="1"/>
  <c r="J11" i="4"/>
  <c r="M7" i="3"/>
  <c r="N7" i="3" s="1"/>
  <c r="I7" i="13" l="1"/>
  <c r="J11" i="5"/>
  <c r="M7" i="4"/>
  <c r="N7" i="4" s="1"/>
  <c r="J11" i="6" l="1"/>
  <c r="M7" i="5"/>
  <c r="N7" i="5" s="1"/>
  <c r="J11" i="7" l="1"/>
  <c r="M7" i="6"/>
  <c r="N7" i="6" s="1"/>
  <c r="M7" i="7" l="1"/>
  <c r="N7" i="7" s="1"/>
  <c r="J11" i="8"/>
  <c r="J11" i="9" l="1"/>
  <c r="M7" i="8"/>
  <c r="N7" i="8" s="1"/>
  <c r="J11" i="10" l="1"/>
  <c r="M7" i="9"/>
  <c r="N7" i="9" s="1"/>
  <c r="J11" i="11" l="1"/>
  <c r="M7" i="10"/>
  <c r="N7" i="10" s="1"/>
  <c r="J11" i="12" l="1"/>
  <c r="M7" i="11"/>
  <c r="N7" i="11" s="1"/>
  <c r="J11" i="13" l="1"/>
  <c r="M7" i="13" s="1"/>
  <c r="N7" i="13" s="1"/>
  <c r="M7" i="12"/>
  <c r="N7" i="12" s="1"/>
</calcChain>
</file>

<file path=xl/sharedStrings.xml><?xml version="1.0" encoding="utf-8"?>
<sst xmlns="http://schemas.openxmlformats.org/spreadsheetml/2006/main" count="352" uniqueCount="34">
  <si>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</si>
  <si>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</si>
  <si>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</si>
  <si>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</si>
  <si>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</si>
  <si>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</si>
  <si>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</si>
  <si>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</si>
  <si>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</si>
  <si>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</si>
  <si>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</si>
  <si>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</si>
  <si>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</si>
  <si>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</si>
  <si>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</si>
  <si>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</si>
  <si>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</si>
  <si>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</si>
  <si>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</si>
  <si>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</si>
  <si>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февраль 2022 года</t>
  </si>
  <si>
    <t>ИНФОРМАЦИЯ
об осуществлении технологического присоединения
по договорам, заключенным ООО ЭСК "Энергия"
за март 2022 года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</si>
  <si>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</si>
  <si>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апрель 2022 года</t>
  </si>
  <si>
    <t>ИНФОРМАЦИЯ
об осуществлении технологического присоединения
по договорам, заключенным ООО ЭСК "Энергия"
за май 2022 года</t>
  </si>
  <si>
    <t>ИНФОРМАЦИЯ
об осуществлении технологического присоединения
по договорам, заключенным ООО ЭСК "Энергия"
за июнь 2022 года</t>
  </si>
  <si>
    <t>ИНФОРМАЦИЯ
об осуществлении технологического присоединения
по договорам, заключенным ООО ЭСК "Энергия"
за июль 2022 года</t>
  </si>
  <si>
    <t>ИНФОРМАЦИЯ
об осуществлении технологического присоединения
по договорам, заключенным ООО ЭСК "Энергия"
за август 2022 года</t>
  </si>
  <si>
    <t>ИНФОРМАЦИЯ
об осуществлении технологического присоединения
по договорам, заключенным ООО ЭСК "Энергия"
за сентябрь 2022 года</t>
  </si>
  <si>
    <t>ИНФОРМАЦИЯ
об осуществлении технологического присоединения
по договорам, заключенным ООО ЭСК "Энергия"
за октябрь 2022 года</t>
  </si>
  <si>
    <t>ИНФОРМАЦИЯ
об осуществлении технологического присоединения
по договорам, заключенным ООО ЭСК "Энергия"
за ноябрь 2022 года</t>
  </si>
  <si>
    <t>ИНФОРМАЦИЯ
об осуществлении технологического присоединения
по договорам, заключенным ООО ЭСК "Энергия"
за декабрь 2022 года</t>
  </si>
  <si>
    <t>ИНФОРМАЦИЯ
об осуществлении технологического присоединения
по договорам, заключенным ООО ЭСК "Энергия"
за январь 2023 года</t>
  </si>
  <si>
    <t xml:space="preserve">Приложение N 4
к стандартам раскрытия информации
субъектами оптового и розничных
рынков электрической энергии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</si>
</sst>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#,##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4" fillId="0" borderId="2" xfId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2" xfId="0" applyFont="1" applyBorder="1" applyAlignment="1">
      <alignment vertical="center" wrapText="1"/>
    </xf>
    <xf numFmtId="165" fontId="0" fillId="0" borderId="0" xfId="0" applyNumberFormat="1"/>
    <xf numFmtId="4" fontId="3" fillId="0" borderId="2" xfId="0" applyNumberFormat="1" applyFont="1" applyBorder="1" applyAlignment="1">
      <alignment vertical="center" wrapText="1"/>
    </xf>
    <xf numFmtId="4" fontId="0" fillId="0" borderId="0" xfId="0" applyNumberFormat="1"/>
    <xf numFmtId="166" fontId="0" fillId="0" borderId="0" xfId="0" applyNumberFormat="1"/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1"/>
  <sheetViews>
    <sheetView tabSelected="1" view="pageBreakPreview" zoomScaleNormal="100" zoomScaleSheetLayoutView="100" workbookViewId="0">
      <selection activeCell="N7" sqref="N7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v>4</v>
      </c>
      <c r="D7" s="2"/>
      <c r="E7" s="2"/>
      <c r="F7" s="6">
        <f>48</f>
        <v>48</v>
      </c>
      <c r="G7" s="6"/>
      <c r="H7" s="2"/>
      <c r="I7" s="3">
        <f>72/1.2</f>
        <v>60</v>
      </c>
      <c r="J7" s="2"/>
      <c r="K7" s="2"/>
      <c r="M7" s="7">
        <f>I7+I8+J8+J11</f>
        <v>98.864966666666675</v>
      </c>
      <c r="N7">
        <f>M7*1.2</f>
        <v>118.63796000000001</v>
      </c>
    </row>
    <row r="8" spans="1:16" x14ac:dyDescent="0.25">
      <c r="A8" s="1">
        <v>2</v>
      </c>
      <c r="B8" s="2" t="s">
        <v>11</v>
      </c>
      <c r="C8" s="2">
        <v>2</v>
      </c>
      <c r="D8" s="2"/>
      <c r="E8" s="2"/>
      <c r="F8" s="6">
        <f>50</f>
        <v>50</v>
      </c>
      <c r="G8" s="6"/>
      <c r="H8" s="2"/>
      <c r="I8" s="3">
        <f>46.63796/1.2</f>
        <v>38.864966666666668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1</f>
        <v>1</v>
      </c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22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E6B5-3D80-4431-BA97-514CAAF89B3B}">
  <sheetPr>
    <pageSetUpPr fitToPage="1"/>
  </sheetPr>
  <dimension ref="A1:P21"/>
  <sheetViews>
    <sheetView view="pageBreakPreview" topLeftCell="D1" zoomScaleNormal="100" zoomScaleSheetLayoutView="100" workbookViewId="0">
      <selection activeCell="H14" sqref="H14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сентябрь!C7+9</f>
        <v>116</v>
      </c>
      <c r="D7" s="2"/>
      <c r="E7" s="2"/>
      <c r="F7" s="6">
        <f>сентябрь!F7+92.2</f>
        <v>1535.7</v>
      </c>
      <c r="G7" s="6"/>
      <c r="H7" s="2"/>
      <c r="I7" s="10">
        <f>сентябрь!I7+217.1/1.2</f>
        <v>690.73726666666664</v>
      </c>
      <c r="J7" s="10"/>
      <c r="K7" s="2"/>
      <c r="M7" s="11">
        <f>I7+I8+J8+J11+I11</f>
        <v>7273.1050750000004</v>
      </c>
      <c r="N7" s="12">
        <f>M7*1.2</f>
        <v>8727.7260900000001</v>
      </c>
    </row>
    <row r="8" spans="1:16" x14ac:dyDescent="0.25">
      <c r="A8" s="1">
        <v>2</v>
      </c>
      <c r="B8" s="2" t="s">
        <v>11</v>
      </c>
      <c r="C8" s="2">
        <f>сентябрь!C8</f>
        <v>7</v>
      </c>
      <c r="D8" s="2">
        <f>сентябрь!D8</f>
        <v>1</v>
      </c>
      <c r="E8" s="2"/>
      <c r="F8" s="6">
        <f>сентябрь!F8</f>
        <v>442.9</v>
      </c>
      <c r="G8" s="6">
        <f>сентябрь!G8</f>
        <v>150</v>
      </c>
      <c r="H8" s="2"/>
      <c r="I8" s="10">
        <f>сентябрь!I8</f>
        <v>275.89232499999997</v>
      </c>
      <c r="J8" s="10">
        <f>сентябрь!J8</f>
        <v>539.1461833333334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сентябрь!C11</f>
        <v>2</v>
      </c>
      <c r="D11" s="2">
        <f>сентябрь!D11</f>
        <v>3</v>
      </c>
      <c r="E11" s="2"/>
      <c r="F11" s="2">
        <f>сентябрь!F11</f>
        <v>499.8</v>
      </c>
      <c r="G11" s="6">
        <f>сентябрь!G11</f>
        <v>870</v>
      </c>
      <c r="H11" s="2"/>
      <c r="I11" s="10">
        <f>сентябрь!I11</f>
        <v>4620.6872000000003</v>
      </c>
      <c r="J11" s="10">
        <f>сентябрь!J11</f>
        <v>1146.6421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22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423EAEC-CB92-4D76-B99B-9FBFC43A9723}"/>
    <hyperlink ref="B10" location="Par2094" display="Par2094" xr:uid="{CB23AA63-A7A9-4C19-874A-EAE4DE50F08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26DA-D4AB-4889-BFF6-1A37A8A92E9F}">
  <sheetPr>
    <pageSetUpPr fitToPage="1"/>
  </sheetPr>
  <dimension ref="A1:P21"/>
  <sheetViews>
    <sheetView view="pageBreakPreview" topLeftCell="C1" zoomScaleNormal="100" zoomScaleSheetLayoutView="100" workbookViewId="0">
      <selection activeCell="N8" sqref="N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октябрь!C7+5</f>
        <v>121</v>
      </c>
      <c r="D7" s="2"/>
      <c r="E7" s="2"/>
      <c r="F7" s="6">
        <f>октябрь!F7+61</f>
        <v>1596.7</v>
      </c>
      <c r="G7" s="6"/>
      <c r="H7" s="2"/>
      <c r="I7" s="10">
        <f>октябрь!I7+138.55/1.2</f>
        <v>806.19560000000001</v>
      </c>
      <c r="J7" s="10"/>
      <c r="K7" s="2"/>
      <c r="M7" s="11">
        <f>I7+I8+J8+J11+I11</f>
        <v>7482.995883333333</v>
      </c>
      <c r="N7" s="12">
        <f>M7*1.2</f>
        <v>8979.5950599999996</v>
      </c>
    </row>
    <row r="8" spans="1:16" x14ac:dyDescent="0.25">
      <c r="A8" s="1">
        <v>2</v>
      </c>
      <c r="B8" s="2" t="s">
        <v>11</v>
      </c>
      <c r="C8" s="2">
        <f>октябрь!C8+2</f>
        <v>9</v>
      </c>
      <c r="D8" s="2">
        <f>октябрь!D8</f>
        <v>1</v>
      </c>
      <c r="E8" s="2"/>
      <c r="F8" s="6">
        <f>октябрь!F8+55</f>
        <v>497.9</v>
      </c>
      <c r="G8" s="6">
        <f>октябрь!G8</f>
        <v>150</v>
      </c>
      <c r="H8" s="2"/>
      <c r="I8" s="10">
        <f>октябрь!I8+113.31897/1.2</f>
        <v>370.32479999999998</v>
      </c>
      <c r="J8" s="10">
        <f>октябрь!J8</f>
        <v>539.1461833333334</v>
      </c>
      <c r="K8" s="2"/>
      <c r="N8" s="1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октябрь!C11</f>
        <v>2</v>
      </c>
      <c r="D11" s="2">
        <f>октябрь!D11</f>
        <v>3</v>
      </c>
      <c r="E11" s="2"/>
      <c r="F11" s="2">
        <f>октябрь!F11</f>
        <v>499.8</v>
      </c>
      <c r="G11" s="6">
        <f>октябрь!G11</f>
        <v>870</v>
      </c>
      <c r="H11" s="2"/>
      <c r="I11" s="10">
        <f>октябрь!I11</f>
        <v>4620.6872000000003</v>
      </c>
      <c r="J11" s="10">
        <f>октябрь!J11</f>
        <v>1146.6421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22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385F5936-A931-4B1E-B0FC-F30F4E23096B}"/>
    <hyperlink ref="B10" location="Par2094" display="Par2094" xr:uid="{0697E962-3AA2-4817-B505-DD24136D7E4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4FD3-CB5E-4013-9D57-E5102EA38DE7}">
  <sheetPr>
    <pageSetUpPr fitToPage="1"/>
  </sheetPr>
  <dimension ref="A1:P21"/>
  <sheetViews>
    <sheetView view="pageBreakPreview" topLeftCell="A3" zoomScaleNormal="100" zoomScaleSheetLayoutView="100" workbookViewId="0">
      <selection activeCell="A18" sqref="A18:K1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hidden="1" customWidth="1"/>
    <col min="14" max="14" width="13.5703125" hidden="1" customWidth="1"/>
  </cols>
  <sheetData>
    <row r="1" spans="1:16" ht="81.75" customHeight="1" x14ac:dyDescent="0.2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ноябрь!C7+12</f>
        <v>133</v>
      </c>
      <c r="D7" s="2"/>
      <c r="E7" s="2"/>
      <c r="F7" s="6">
        <f>ноябрь!F7+180</f>
        <v>1776.7</v>
      </c>
      <c r="G7" s="6"/>
      <c r="H7" s="2"/>
      <c r="I7" s="10">
        <f>ноябрь!I7+357.15/1.2</f>
        <v>1103.8206</v>
      </c>
      <c r="J7" s="10"/>
      <c r="K7" s="2"/>
      <c r="M7" s="11">
        <f>I7+I8+J8+J11+I11</f>
        <v>8042.4325833333332</v>
      </c>
      <c r="N7" s="12">
        <f>M7*1.2</f>
        <v>9650.9190999999992</v>
      </c>
    </row>
    <row r="8" spans="1:16" x14ac:dyDescent="0.25">
      <c r="A8" s="1">
        <v>2</v>
      </c>
      <c r="B8" s="2" t="s">
        <v>11</v>
      </c>
      <c r="C8" s="2">
        <f>ноябрь!C8+1</f>
        <v>10</v>
      </c>
      <c r="D8" s="2">
        <f>ноябрь!D8</f>
        <v>1</v>
      </c>
      <c r="E8" s="2"/>
      <c r="F8" s="6">
        <f>ноябрь!F8+24</f>
        <v>521.9</v>
      </c>
      <c r="G8" s="6">
        <f>ноябрь!G8</f>
        <v>150</v>
      </c>
      <c r="H8" s="2"/>
      <c r="I8" s="10">
        <f>ноябрь!I8+72/1.2</f>
        <v>430.32479999999998</v>
      </c>
      <c r="J8" s="10">
        <f>ноябрь!J8</f>
        <v>539.1461833333334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ноябрь!C11+2</f>
        <v>4</v>
      </c>
      <c r="D11" s="2">
        <f>ноябрь!D11</f>
        <v>3</v>
      </c>
      <c r="E11" s="2"/>
      <c r="F11" s="2">
        <f>ноябрь!F11+365</f>
        <v>864.8</v>
      </c>
      <c r="G11" s="6">
        <f>ноябрь!G11</f>
        <v>870</v>
      </c>
      <c r="H11" s="2"/>
      <c r="I11" s="10">
        <f>ноябрь!I11+242.17404/1.2</f>
        <v>4822.4989000000005</v>
      </c>
      <c r="J11" s="10">
        <f>ноябрь!J11</f>
        <v>1146.6421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22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EBCB5F9-0F44-465E-917D-CA429D05CCD5}"/>
    <hyperlink ref="B10" location="Par2094" display="Par2094" xr:uid="{69771D2B-789D-45A3-86D8-03C9FE71CC3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5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январь!C7+9</f>
        <v>13</v>
      </c>
      <c r="D7" s="2"/>
      <c r="E7" s="2"/>
      <c r="F7" s="6">
        <f>январь!F7+130</f>
        <v>178</v>
      </c>
      <c r="G7" s="6"/>
      <c r="H7" s="2"/>
      <c r="I7" s="3">
        <f>январь!I7+0.55*9/1.2</f>
        <v>64.125</v>
      </c>
      <c r="J7" s="2"/>
      <c r="K7" s="2"/>
      <c r="M7" s="9">
        <f>I7+I8+J8+J11</f>
        <v>102.98996666666667</v>
      </c>
      <c r="N7">
        <f>M7*1.2</f>
        <v>123.58796000000001</v>
      </c>
    </row>
    <row r="8" spans="1:16" x14ac:dyDescent="0.25">
      <c r="A8" s="1">
        <v>2</v>
      </c>
      <c r="B8" s="2" t="s">
        <v>11</v>
      </c>
      <c r="C8" s="2">
        <f>январь!C8</f>
        <v>2</v>
      </c>
      <c r="D8" s="2">
        <f>январь!D8</f>
        <v>0</v>
      </c>
      <c r="E8" s="2"/>
      <c r="F8" s="6">
        <f>январь!F8</f>
        <v>50</v>
      </c>
      <c r="G8" s="6">
        <f>январь!G8</f>
        <v>0</v>
      </c>
      <c r="H8" s="2"/>
      <c r="I8" s="3">
        <f>январь!I8</f>
        <v>38.864966666666668</v>
      </c>
      <c r="J8" s="3">
        <f>январь!J8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январь!D11</f>
        <v>1</v>
      </c>
      <c r="E11" s="2"/>
      <c r="F11" s="2"/>
      <c r="G11" s="6">
        <f>январь!G11</f>
        <v>0</v>
      </c>
      <c r="H11" s="2"/>
      <c r="I11" s="2"/>
      <c r="J11" s="3">
        <f>январь!J11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5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5" spans="1:11" x14ac:dyDescent="0.25">
      <c r="A25" s="14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февраль!C7+10</f>
        <v>23</v>
      </c>
      <c r="D7" s="2"/>
      <c r="E7" s="2"/>
      <c r="F7" s="6">
        <f>февраль!F7+142.5</f>
        <v>320.5</v>
      </c>
      <c r="G7" s="6"/>
      <c r="H7" s="2"/>
      <c r="I7" s="3">
        <f>февраль!I7+0.55*10/1.2</f>
        <v>68.708333333333329</v>
      </c>
      <c r="J7" s="2"/>
      <c r="K7" s="2"/>
      <c r="M7" s="9">
        <f>I7+I8+J8+J11</f>
        <v>1097.3034</v>
      </c>
      <c r="N7">
        <f>M7*1.2</f>
        <v>1316.7640799999999</v>
      </c>
    </row>
    <row r="8" spans="1:16" x14ac:dyDescent="0.25">
      <c r="A8" s="1">
        <v>2</v>
      </c>
      <c r="B8" s="2" t="s">
        <v>11</v>
      </c>
      <c r="C8" s="2">
        <f>февраль!C8</f>
        <v>2</v>
      </c>
      <c r="D8" s="2">
        <f>февраль!D8</f>
        <v>0</v>
      </c>
      <c r="E8" s="2"/>
      <c r="F8" s="6">
        <f>февраль!F8</f>
        <v>50</v>
      </c>
      <c r="G8" s="6">
        <f>февраль!G8</f>
        <v>0</v>
      </c>
      <c r="H8" s="2"/>
      <c r="I8" s="3">
        <f>февраль!I8</f>
        <v>38.864966666666668</v>
      </c>
      <c r="J8" s="3">
        <f>февраль!J8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февраль!D11+1</f>
        <v>2</v>
      </c>
      <c r="E11" s="2"/>
      <c r="F11" s="2"/>
      <c r="G11" s="6">
        <f>февраль!G11+470</f>
        <v>470</v>
      </c>
      <c r="H11" s="2"/>
      <c r="I11" s="2"/>
      <c r="J11" s="3">
        <f>февраль!J11+1187.67612/1.2</f>
        <v>989.73010000000011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22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view="pageBreakPreview" topLeftCell="B1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март!C7+19</f>
        <v>42</v>
      </c>
      <c r="D7" s="2"/>
      <c r="E7" s="2"/>
      <c r="F7" s="6">
        <f>март!F7+237</f>
        <v>557.5</v>
      </c>
      <c r="G7" s="6"/>
      <c r="H7" s="2"/>
      <c r="I7" s="3">
        <f>март!I7+0.55*19/1.2</f>
        <v>77.416666666666657</v>
      </c>
      <c r="J7" s="2"/>
      <c r="K7" s="2"/>
      <c r="M7" s="9">
        <f>I7+I8+J8+J11</f>
        <v>1106.0117333333335</v>
      </c>
      <c r="N7" s="9">
        <f>M7*1.2</f>
        <v>1327.2140800000002</v>
      </c>
    </row>
    <row r="8" spans="1:16" x14ac:dyDescent="0.25">
      <c r="A8" s="1">
        <v>2</v>
      </c>
      <c r="B8" s="2" t="s">
        <v>11</v>
      </c>
      <c r="C8" s="2">
        <f>март!C8</f>
        <v>2</v>
      </c>
      <c r="D8" s="2">
        <f>март!D8</f>
        <v>0</v>
      </c>
      <c r="E8" s="2"/>
      <c r="F8" s="6">
        <f>март!F8</f>
        <v>50</v>
      </c>
      <c r="G8" s="6">
        <f>март!G8</f>
        <v>0</v>
      </c>
      <c r="H8" s="2"/>
      <c r="I8" s="3">
        <f>март!I8</f>
        <v>38.864966666666668</v>
      </c>
      <c r="J8" s="3">
        <f>март!J8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март!D11</f>
        <v>2</v>
      </c>
      <c r="E11" s="2"/>
      <c r="F11" s="2"/>
      <c r="G11" s="6">
        <f>март!G11</f>
        <v>470</v>
      </c>
      <c r="H11" s="2"/>
      <c r="I11" s="2"/>
      <c r="J11" s="3">
        <f>март!J11</f>
        <v>989.73010000000011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22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апрель!C7+11</f>
        <v>53</v>
      </c>
      <c r="D7" s="2"/>
      <c r="E7" s="2"/>
      <c r="F7" s="6">
        <f>апрель!F7+132</f>
        <v>689.5</v>
      </c>
      <c r="G7" s="6"/>
      <c r="H7" s="2"/>
      <c r="I7" s="10">
        <f>апрель!I7+(0.55*11)/1.2</f>
        <v>82.458333333333329</v>
      </c>
      <c r="J7" s="10"/>
      <c r="K7" s="2"/>
      <c r="M7" s="11">
        <f>I7+I8+J8+J11+I11</f>
        <v>5719.7100333333337</v>
      </c>
      <c r="N7" s="12">
        <f>M7*1.2</f>
        <v>6863.6520399999999</v>
      </c>
    </row>
    <row r="8" spans="1:16" x14ac:dyDescent="0.25">
      <c r="A8" s="1">
        <v>2</v>
      </c>
      <c r="B8" s="2" t="s">
        <v>11</v>
      </c>
      <c r="C8" s="2">
        <f>апрель!C8</f>
        <v>2</v>
      </c>
      <c r="D8" s="2">
        <f>апрель!D8</f>
        <v>0</v>
      </c>
      <c r="E8" s="2"/>
      <c r="F8" s="6">
        <f>апрель!F8</f>
        <v>50</v>
      </c>
      <c r="G8" s="6">
        <f>март!G8</f>
        <v>0</v>
      </c>
      <c r="H8" s="2"/>
      <c r="I8" s="10">
        <f>апрель!I8</f>
        <v>38.864966666666668</v>
      </c>
      <c r="J8" s="10">
        <f>апрель!J8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v>1</v>
      </c>
      <c r="D11" s="2">
        <f>апрель!D11</f>
        <v>2</v>
      </c>
      <c r="E11" s="2"/>
      <c r="F11" s="2">
        <v>239.8</v>
      </c>
      <c r="G11" s="6">
        <f>апрель!G11</f>
        <v>470</v>
      </c>
      <c r="H11" s="2"/>
      <c r="I11" s="10">
        <f>5530.38796/1.2</f>
        <v>4608.656633333334</v>
      </c>
      <c r="J11" s="10">
        <f>апрель!J11</f>
        <v>989.73010000000011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22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май!C7+14</f>
        <v>67</v>
      </c>
      <c r="D7" s="2"/>
      <c r="E7" s="2"/>
      <c r="F7" s="6">
        <f>май!F7+210</f>
        <v>899.5</v>
      </c>
      <c r="G7" s="6"/>
      <c r="H7" s="2"/>
      <c r="I7" s="10">
        <f>май!I7+(0.55*14)/1.2</f>
        <v>88.875</v>
      </c>
      <c r="J7" s="10"/>
      <c r="K7" s="2"/>
      <c r="M7" s="11">
        <f>I7+I8+J8+J11+I11</f>
        <v>5896.5055583333342</v>
      </c>
      <c r="N7" s="12">
        <f>M7*1.2</f>
        <v>7075.8066700000008</v>
      </c>
    </row>
    <row r="8" spans="1:16" x14ac:dyDescent="0.25">
      <c r="A8" s="1">
        <v>2</v>
      </c>
      <c r="B8" s="2" t="s">
        <v>11</v>
      </c>
      <c r="C8" s="2">
        <f>май!C8+3</f>
        <v>5</v>
      </c>
      <c r="D8" s="2">
        <f>май!D8</f>
        <v>0</v>
      </c>
      <c r="E8" s="2"/>
      <c r="F8" s="6">
        <f>май!F8+192.9</f>
        <v>242.9</v>
      </c>
      <c r="G8" s="6">
        <f>май!G8</f>
        <v>0</v>
      </c>
      <c r="H8" s="2"/>
      <c r="I8" s="10">
        <f>май!I8+204.45463/1.2</f>
        <v>209.24382500000002</v>
      </c>
      <c r="J8" s="10">
        <f>май!J8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май!C11</f>
        <v>1</v>
      </c>
      <c r="D11" s="2">
        <f>май!D11</f>
        <v>2</v>
      </c>
      <c r="E11" s="2"/>
      <c r="F11" s="2">
        <f>май!F11</f>
        <v>239.8</v>
      </c>
      <c r="G11" s="6">
        <f>май!G11</f>
        <v>470</v>
      </c>
      <c r="H11" s="2"/>
      <c r="I11" s="10">
        <f>май!I11</f>
        <v>4608.656633333334</v>
      </c>
      <c r="J11" s="10">
        <f>май!J11</f>
        <v>989.73010000000011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22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view="pageBreakPreview" zoomScaleNormal="100" zoomScaleSheetLayoutView="100" workbookViewId="0">
      <selection activeCell="G11" sqref="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июнь!C7+11</f>
        <v>78</v>
      </c>
      <c r="D7" s="2"/>
      <c r="E7" s="2"/>
      <c r="F7" s="6">
        <f>июнь!F7+165</f>
        <v>1064.5</v>
      </c>
      <c r="G7" s="6"/>
      <c r="H7" s="2"/>
      <c r="I7" s="10">
        <f>июнь!I7+(0.55*11)/1.2</f>
        <v>93.916666666666671</v>
      </c>
      <c r="J7" s="10"/>
      <c r="K7" s="2"/>
      <c r="M7" s="11">
        <f>I7+I8+J8+J11+I11</f>
        <v>6505.0469750000011</v>
      </c>
      <c r="N7" s="12">
        <f>M7*1.2</f>
        <v>7806.0563700000012</v>
      </c>
    </row>
    <row r="8" spans="1:16" x14ac:dyDescent="0.25">
      <c r="A8" s="1">
        <v>2</v>
      </c>
      <c r="B8" s="2" t="s">
        <v>11</v>
      </c>
      <c r="C8" s="2">
        <f>июнь!C8+1</f>
        <v>6</v>
      </c>
      <c r="D8" s="2">
        <f>июнь!D8+1</f>
        <v>1</v>
      </c>
      <c r="E8" s="2"/>
      <c r="F8" s="6">
        <f>июнь!F8+150</f>
        <v>392.9</v>
      </c>
      <c r="G8" s="6">
        <f>июнь!G8+150</f>
        <v>150</v>
      </c>
      <c r="H8" s="2"/>
      <c r="I8" s="10">
        <f>июнь!I8+62.7876/1.2</f>
        <v>261.56682499999999</v>
      </c>
      <c r="J8" s="10">
        <f>июнь!J8+646.97542/1.2</f>
        <v>539.1461833333334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июнь!C11+1</f>
        <v>2</v>
      </c>
      <c r="D11" s="2">
        <f>июнь!D11</f>
        <v>2</v>
      </c>
      <c r="E11" s="2"/>
      <c r="F11" s="2">
        <f>июнь!F11+260</f>
        <v>499.8</v>
      </c>
      <c r="G11" s="6">
        <f>июнь!G11</f>
        <v>470</v>
      </c>
      <c r="H11" s="2"/>
      <c r="I11" s="10">
        <f>июнь!I11+14.43668/1.2</f>
        <v>4620.6872000000003</v>
      </c>
      <c r="J11" s="10">
        <f>июнь!J11</f>
        <v>989.73010000000011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22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E5EA-1644-4B24-ABDC-085A9AA9501F}">
  <sheetPr>
    <pageSetUpPr fitToPage="1"/>
  </sheetPr>
  <dimension ref="A1:P21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июль!C7+14</f>
        <v>92</v>
      </c>
      <c r="D7" s="2"/>
      <c r="E7" s="2"/>
      <c r="F7" s="6">
        <f>июль!F7+204</f>
        <v>1268.5</v>
      </c>
      <c r="G7" s="6"/>
      <c r="H7" s="2"/>
      <c r="I7" s="10">
        <f>июль!I7+102.6588/1.2</f>
        <v>179.46566666666666</v>
      </c>
      <c r="J7" s="10"/>
      <c r="K7" s="2"/>
      <c r="M7" s="11">
        <f>I7+I8+J8+J11+I11</f>
        <v>6590.5959750000002</v>
      </c>
      <c r="N7" s="12">
        <f>M7*1.2</f>
        <v>7908.7151699999995</v>
      </c>
    </row>
    <row r="8" spans="1:16" x14ac:dyDescent="0.25">
      <c r="A8" s="1">
        <v>2</v>
      </c>
      <c r="B8" s="2" t="s">
        <v>11</v>
      </c>
      <c r="C8" s="2">
        <f>июль!C8</f>
        <v>6</v>
      </c>
      <c r="D8" s="2">
        <f>июль!D8</f>
        <v>1</v>
      </c>
      <c r="E8" s="2"/>
      <c r="F8" s="6">
        <f>июль!F8</f>
        <v>392.9</v>
      </c>
      <c r="G8" s="6">
        <f>июль!G8</f>
        <v>150</v>
      </c>
      <c r="H8" s="2"/>
      <c r="I8" s="10">
        <f>июль!I8</f>
        <v>261.56682499999999</v>
      </c>
      <c r="J8" s="10">
        <f>июль!J8</f>
        <v>539.1461833333334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июль!C11</f>
        <v>2</v>
      </c>
      <c r="D11" s="2">
        <f>июль!D11</f>
        <v>2</v>
      </c>
      <c r="E11" s="2"/>
      <c r="F11" s="2">
        <f>июль!F11</f>
        <v>499.8</v>
      </c>
      <c r="G11" s="6">
        <f>июль!G11</f>
        <v>470</v>
      </c>
      <c r="H11" s="2"/>
      <c r="I11" s="10">
        <f>июль!I11</f>
        <v>4620.6872000000003</v>
      </c>
      <c r="J11" s="10">
        <f>июль!J11</f>
        <v>989.73010000000011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22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372761C-78C4-4DCB-8B2B-5259B7DFB840}"/>
    <hyperlink ref="B10" location="Par2094" display="Par2094" xr:uid="{31114511-8A29-40C7-9FC5-8855FCF1A4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F9E9-55D5-46F7-941F-69D2819A494F}">
  <sheetPr>
    <pageSetUpPr fitToPage="1"/>
  </sheetPr>
  <dimension ref="A1:P21"/>
  <sheetViews>
    <sheetView view="pageBreakPreview" zoomScaleNormal="100" zoomScaleSheetLayoutView="100" workbookViewId="0">
      <selection activeCell="D14" sqref="D14:D15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август!C7+15</f>
        <v>107</v>
      </c>
      <c r="D7" s="2"/>
      <c r="E7" s="2"/>
      <c r="F7" s="6">
        <f>август!F7+175</f>
        <v>1443.5</v>
      </c>
      <c r="G7" s="6"/>
      <c r="H7" s="2"/>
      <c r="I7" s="10">
        <f>август!I7+396.42592/1.2</f>
        <v>509.82060000000001</v>
      </c>
      <c r="J7" s="10"/>
      <c r="K7" s="2"/>
      <c r="M7" s="11">
        <f>I7+I8+J8+J11+I11</f>
        <v>7092.1884083333334</v>
      </c>
      <c r="N7" s="12">
        <f>M7*1.2</f>
        <v>8510.6260899999997</v>
      </c>
    </row>
    <row r="8" spans="1:16" x14ac:dyDescent="0.25">
      <c r="A8" s="1">
        <v>2</v>
      </c>
      <c r="B8" s="2" t="s">
        <v>11</v>
      </c>
      <c r="C8" s="2">
        <f>август!C8+1</f>
        <v>7</v>
      </c>
      <c r="D8" s="2">
        <f>август!D8</f>
        <v>1</v>
      </c>
      <c r="E8" s="2"/>
      <c r="F8" s="6">
        <f>август!F8+50</f>
        <v>442.9</v>
      </c>
      <c r="G8" s="6">
        <f>август!G8</f>
        <v>150</v>
      </c>
      <c r="H8" s="2"/>
      <c r="I8" s="10">
        <f>август!I8+17.1906/1.2</f>
        <v>275.89232499999997</v>
      </c>
      <c r="J8" s="10">
        <f>август!J8</f>
        <v>539.1461833333334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август!C11</f>
        <v>2</v>
      </c>
      <c r="D11" s="2">
        <f>август!D11+1</f>
        <v>3</v>
      </c>
      <c r="E11" s="2"/>
      <c r="F11" s="2">
        <f>август!F11</f>
        <v>499.8</v>
      </c>
      <c r="G11" s="6">
        <f>август!G11+400</f>
        <v>870</v>
      </c>
      <c r="H11" s="2"/>
      <c r="I11" s="10">
        <f>август!I11</f>
        <v>4620.6872000000003</v>
      </c>
      <c r="J11" s="10">
        <f>август!J11+188.2944/1.2</f>
        <v>1146.6421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22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88ABA49-1C6C-47D9-B366-32649A6B28B3}"/>
    <hyperlink ref="B10" location="Par2094" display="Par2094" xr:uid="{51D14776-D408-4241-9C34-39A1698B76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2023-02-03T04:27:30Z</dcterms:modified>
</cp:coreProperties>
</file>