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tabRatio="672" firstSheet="2" activeTab="9"/>
  </bookViews>
  <sheets>
    <sheet name="январь-март 2017" sheetId="7" r:id="rId1"/>
    <sheet name="январь-апрель 2017" sheetId="11" r:id="rId2"/>
    <sheet name="январь-май 2017" sheetId="12" r:id="rId3"/>
    <sheet name="январь-июнь 2017" sheetId="13" r:id="rId4"/>
    <sheet name="январь-июль 2017" sheetId="14" r:id="rId5"/>
    <sheet name="январь-август 2017" sheetId="15" r:id="rId6"/>
    <sheet name="январь-сентябрь 2017" sheetId="16" r:id="rId7"/>
    <sheet name="январь-октябрь 2017" sheetId="8" r:id="rId8"/>
    <sheet name="январь-ноябрь 2017" sheetId="9" r:id="rId9"/>
    <sheet name="январь-декабрь 2017" sheetId="10" r:id="rId10"/>
  </sheets>
  <definedNames>
    <definedName name="_xlnm.Print_Area" localSheetId="5">'январь-август 2017'!$A$1:$K$22</definedName>
    <definedName name="_xlnm.Print_Area" localSheetId="1">'январь-апрель 2017'!$A$1:$K$22</definedName>
    <definedName name="_xlnm.Print_Area" localSheetId="4">'январь-июль 2017'!$A$1:$K$22</definedName>
    <definedName name="_xlnm.Print_Area" localSheetId="3">'январь-июнь 2017'!$A$1:$K$22</definedName>
    <definedName name="_xlnm.Print_Area" localSheetId="2">'январь-май 2017'!$A$1:$K$22</definedName>
    <definedName name="_xlnm.Print_Area" localSheetId="0">'январь-март 2017'!$A$1:$K$22</definedName>
    <definedName name="_xlnm.Print_Area" localSheetId="6">'январь-сентябрь 2017'!$A$1:$K$22</definedName>
  </definedNames>
  <calcPr calcId="144525"/>
</workbook>
</file>

<file path=xl/calcChain.xml><?xml version="1.0" encoding="utf-8"?>
<calcChain xmlns="http://schemas.openxmlformats.org/spreadsheetml/2006/main">
  <c r="I8" i="10" l="1"/>
  <c r="F8" i="10"/>
  <c r="C8" i="10"/>
  <c r="I7" i="10"/>
  <c r="J11" i="10"/>
  <c r="I11" i="10"/>
  <c r="J8" i="10"/>
  <c r="F7" i="10"/>
  <c r="G11" i="10"/>
  <c r="C7" i="10"/>
  <c r="D11" i="10"/>
  <c r="J8" i="9" l="1"/>
  <c r="I7" i="9"/>
  <c r="J11" i="9"/>
  <c r="I11" i="9"/>
  <c r="I8" i="9"/>
  <c r="I5" i="9"/>
  <c r="F7" i="9"/>
  <c r="F5" i="9" s="1"/>
  <c r="G11" i="9"/>
  <c r="F8" i="9"/>
  <c r="C7" i="9"/>
  <c r="D11" i="9"/>
  <c r="C8" i="9"/>
  <c r="C5" i="9"/>
  <c r="I8" i="8" l="1"/>
  <c r="F8" i="8"/>
  <c r="C8" i="8"/>
  <c r="I7" i="8"/>
  <c r="J11" i="8"/>
  <c r="I11" i="8"/>
  <c r="I5" i="8"/>
  <c r="F7" i="8"/>
  <c r="G11" i="8"/>
  <c r="F5" i="8"/>
  <c r="C7" i="8"/>
  <c r="D11" i="8"/>
  <c r="C5" i="8"/>
  <c r="I7" i="16"/>
  <c r="F7" i="16"/>
  <c r="I11" i="16"/>
  <c r="C7" i="16"/>
  <c r="J11" i="16"/>
  <c r="G11" i="16"/>
  <c r="D11" i="16"/>
  <c r="I8" i="16"/>
  <c r="F8" i="16"/>
  <c r="C8" i="16"/>
  <c r="I5" i="16"/>
  <c r="F5" i="16"/>
  <c r="C5" i="16"/>
  <c r="I7" i="15"/>
  <c r="C7" i="15"/>
  <c r="F7" i="15"/>
  <c r="J11" i="15"/>
  <c r="D11" i="15"/>
  <c r="G11" i="15"/>
  <c r="I8" i="15"/>
  <c r="F8" i="15"/>
  <c r="C8" i="15"/>
  <c r="I5" i="15"/>
  <c r="F5" i="15"/>
  <c r="C5" i="15"/>
  <c r="I7" i="14"/>
  <c r="C7" i="14"/>
  <c r="F7" i="14"/>
  <c r="I8" i="14"/>
  <c r="F8" i="14"/>
  <c r="C8" i="14"/>
  <c r="C5" i="14"/>
  <c r="I5" i="14"/>
  <c r="F5" i="14"/>
  <c r="I7" i="13"/>
  <c r="F7" i="13"/>
  <c r="C7" i="13"/>
  <c r="I8" i="13"/>
  <c r="F8" i="13"/>
  <c r="C8" i="13"/>
  <c r="I5" i="13"/>
  <c r="F5" i="13"/>
  <c r="C5" i="13"/>
  <c r="F7" i="12"/>
  <c r="I7" i="12"/>
  <c r="C7" i="12"/>
  <c r="I8" i="12"/>
  <c r="I7" i="11" l="1"/>
  <c r="F7" i="11"/>
  <c r="F5" i="7"/>
  <c r="I5" i="7"/>
  <c r="I7" i="7"/>
  <c r="I8" i="11"/>
  <c r="F8" i="12"/>
  <c r="C8" i="12"/>
  <c r="I5" i="12"/>
  <c r="F5" i="12"/>
  <c r="C5" i="12"/>
  <c r="F5" i="11"/>
  <c r="C5" i="11"/>
  <c r="I5" i="11"/>
  <c r="F8" i="11"/>
  <c r="C8" i="11"/>
  <c r="C7" i="11"/>
  <c r="F5" i="10" l="1"/>
  <c r="I5" i="10"/>
  <c r="C5" i="10"/>
</calcChain>
</file>

<file path=xl/sharedStrings.xml><?xml version="1.0" encoding="utf-8"?>
<sst xmlns="http://schemas.openxmlformats.org/spreadsheetml/2006/main" count="326" uniqueCount="33">
  <si>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</si>
  <si>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</si>
  <si>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</si>
  <si>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</si>
  <si>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</si>
  <si>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</si>
  <si>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</si>
  <si>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</si>
  <si>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</si>
  <si>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</si>
  <si>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</si>
  <si>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</si>
  <si>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</si>
  <si>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</si>
  <si>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</si>
  <si>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</si>
  <si>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</si>
  <si>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</si>
  <si>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</si>
  <si>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 xml:space="preserve"> </t>
  </si>
  <si>
    <t>ИНФОРМАЦИЯ
об осуществлении технологического присоединения
по договорам, заключенным ООО ЭСК "Энергия"
за январь - март 2017 года</t>
  </si>
  <si>
    <t>Директор ООО ЭСК "Энергия"                                                                                                                                                           А.Д. Тимофеев</t>
  </si>
  <si>
    <t>ИНФОРМАЦИЯ
об осуществлении технологического присоединения
по договорам, заключенным ООО ЭСК "Энергия"
за январь - октябрь 2017 года</t>
  </si>
  <si>
    <t>ИНФОРМАЦИЯ
об осуществлении технологического присоединения
по договорам, заключенным ООО ЭСК "Энергия"
за январь - ноябрь 2017 года</t>
  </si>
  <si>
    <t>ИНФОРМАЦИЯ
об осуществлении технологического присоединения
по договорам, заключенным ООО ЭСК "Энергия"
за январь - декабрь 2017 года</t>
  </si>
  <si>
    <t>Директор ООО ЭСК "Энергия"                                                                                                                                                           С.С. Зарубин</t>
  </si>
  <si>
    <t>ИНФОРМАЦИЯ
об осуществлении технологического присоединения
по договорам, заключенным ООО ЭСК "Энергия"
за январь - апрель 2017 года</t>
  </si>
  <si>
    <t>Приложение N 8
к стандартам раскрытия информации
субъектами оптового и розничных
рынков электрической энергии</t>
  </si>
  <si>
    <t>ИНФОРМАЦИЯ
об осуществлении технологического присоединения
по договорам, заключенным ООО ЭСК "Энергия"
за январь - май 2017 года</t>
  </si>
  <si>
    <t>ИНФОРМАЦИЯ
об осуществлении технологического присоединения
по договорам, заключенным ООО ЭСК "Энергия"
за январь - июнь 2017 года</t>
  </si>
  <si>
    <t>ИНФОРМАЦИЯ
об осуществлении технологического присоединения
по договорам, заключенным ООО ЭСК "Энергия"
за январь - июль 2017 года</t>
  </si>
  <si>
    <t>ИНФОРМАЦИЯ
об осуществлении технологического присоединения
по договорам, заключенным ООО ЭСК "Энергия"
за январь - август 2017 года</t>
  </si>
  <si>
    <t>ИНФОРМАЦИЯ
об осуществлении технологического присоединения
по договорам, заключенным ООО ЭСК "Энергия"
за январь - сентябрь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</si>
</sst>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1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2"/>
  <sheetViews>
    <sheetView view="pageBreakPreview" zoomScale="98" zoomScaleNormal="100" zoomScaleSheetLayoutView="98" workbookViewId="0">
      <selection activeCell="I7" sqref="I7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61.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25">
      <c r="A5" s="1">
        <v>1</v>
      </c>
      <c r="B5" s="2" t="s">
        <v>8</v>
      </c>
      <c r="C5" s="2">
        <v>35</v>
      </c>
      <c r="D5" s="2"/>
      <c r="E5" s="2"/>
      <c r="F5" s="2">
        <f>F7</f>
        <v>504</v>
      </c>
      <c r="G5" s="2"/>
      <c r="H5" s="2"/>
      <c r="I5" s="8">
        <f>I7</f>
        <v>16.3135593220339</v>
      </c>
      <c r="J5" s="2"/>
      <c r="K5" s="2"/>
    </row>
    <row r="6" spans="1:16" x14ac:dyDescent="0.25">
      <c r="A6" s="2"/>
      <c r="B6" s="3" t="s">
        <v>9</v>
      </c>
      <c r="C6" s="2"/>
      <c r="D6" s="2"/>
      <c r="E6" s="2"/>
      <c r="F6" s="2"/>
      <c r="G6" s="2"/>
      <c r="H6" s="2"/>
      <c r="I6" s="8"/>
      <c r="J6" s="2"/>
      <c r="K6" s="2"/>
      <c r="N6" s="18"/>
      <c r="O6" s="18"/>
      <c r="P6" s="18"/>
    </row>
    <row r="7" spans="1:16" x14ac:dyDescent="0.25">
      <c r="A7" s="2"/>
      <c r="B7" s="5" t="s">
        <v>10</v>
      </c>
      <c r="C7" s="6">
        <v>35</v>
      </c>
      <c r="D7" s="6"/>
      <c r="E7" s="6"/>
      <c r="F7" s="6">
        <v>504</v>
      </c>
      <c r="G7" s="6"/>
      <c r="H7" s="6"/>
      <c r="I7" s="8">
        <f>19.25/1.18</f>
        <v>16.3135593220339</v>
      </c>
      <c r="J7" s="4"/>
      <c r="K7" s="2"/>
    </row>
    <row r="8" spans="1:16" x14ac:dyDescent="0.25">
      <c r="A8" s="1">
        <v>2</v>
      </c>
      <c r="B8" s="2" t="s">
        <v>11</v>
      </c>
      <c r="C8" s="2">
        <v>3</v>
      </c>
      <c r="D8" s="2"/>
      <c r="E8" s="2"/>
      <c r="F8" s="2">
        <v>56</v>
      </c>
      <c r="G8" s="2"/>
      <c r="H8" s="2"/>
      <c r="I8" s="2">
        <v>34.86</v>
      </c>
      <c r="J8" s="2"/>
      <c r="K8" s="2"/>
    </row>
    <row r="9" spans="1:16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8"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" right="0.7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P29"/>
  <sheetViews>
    <sheetView tabSelected="1" workbookViewId="0">
      <selection activeCell="Q21" sqref="Q21"/>
    </sheetView>
  </sheetViews>
  <sheetFormatPr defaultRowHeight="15" x14ac:dyDescent="0.25"/>
  <cols>
    <col min="2" max="2" width="30" customWidth="1"/>
    <col min="9" max="9" width="11.5703125" bestFit="1" customWidth="1"/>
  </cols>
  <sheetData>
    <row r="1" spans="1:16" ht="82.5" customHeight="1" x14ac:dyDescent="0.2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76.5" customHeight="1" x14ac:dyDescent="0.25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>
        <f>C7</f>
        <v>132</v>
      </c>
      <c r="D5" s="6"/>
      <c r="E5" s="6"/>
      <c r="F5" s="9">
        <f>F7</f>
        <v>1797.9999999999998</v>
      </c>
      <c r="G5" s="9"/>
      <c r="H5" s="6"/>
      <c r="I5" s="8">
        <f>I7</f>
        <v>61.525932203389836</v>
      </c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9"/>
      <c r="G6" s="9"/>
      <c r="H6" s="6"/>
      <c r="I6" s="6"/>
      <c r="J6" s="6"/>
      <c r="K6" s="6"/>
    </row>
    <row r="7" spans="1:16" x14ac:dyDescent="0.25">
      <c r="A7" s="6"/>
      <c r="B7" s="5" t="s">
        <v>10</v>
      </c>
      <c r="C7" s="6">
        <f>35+19+18+12+4+12+8+5+8+11</f>
        <v>132</v>
      </c>
      <c r="D7" s="6"/>
      <c r="E7" s="6"/>
      <c r="F7" s="9">
        <f>504+241.3+193+163.6+54+179.1+115+70+120+158</f>
        <v>1797.9999999999998</v>
      </c>
      <c r="G7" s="9"/>
      <c r="H7" s="6"/>
      <c r="I7" s="8">
        <f>16.314+8.856+(0.55*18)/1.18+(0.55*12)/1.18+(0.55*4)/1.18+(0.55*12)/1.18+(0.55*8)/1.18+(0.55*5)/1.18+(0.55*8)/1.18+(0.55*11)/1.18</f>
        <v>61.525932203389836</v>
      </c>
      <c r="J7" s="6"/>
      <c r="K7" s="6"/>
      <c r="P7" t="s">
        <v>19</v>
      </c>
    </row>
    <row r="8" spans="1:16" x14ac:dyDescent="0.25">
      <c r="A8" s="11">
        <v>2</v>
      </c>
      <c r="B8" s="6" t="s">
        <v>11</v>
      </c>
      <c r="C8" s="6">
        <f>3+7+1+2+1</f>
        <v>14</v>
      </c>
      <c r="D8" s="6">
        <v>1</v>
      </c>
      <c r="E8" s="6"/>
      <c r="F8" s="9">
        <f>56+197.1+40+100+100</f>
        <v>493.1</v>
      </c>
      <c r="G8" s="9">
        <v>100</v>
      </c>
      <c r="H8" s="6"/>
      <c r="I8" s="8">
        <f>34.86+103.977+58.764/1.18+62.436/1.18+73.455/1.18</f>
        <v>303.79886440677967</v>
      </c>
      <c r="J8" s="8">
        <f>73.455/1.18</f>
        <v>62.25</v>
      </c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9"/>
      <c r="G10" s="9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>
        <v>1</v>
      </c>
      <c r="D11" s="6">
        <f>1+1</f>
        <v>2</v>
      </c>
      <c r="E11" s="6"/>
      <c r="F11" s="9">
        <v>300</v>
      </c>
      <c r="G11" s="9">
        <f>733.3+150</f>
        <v>883.3</v>
      </c>
      <c r="H11" s="6"/>
      <c r="I11" s="6">
        <f>220.365/1.18</f>
        <v>186.75000000000003</v>
      </c>
      <c r="J11" s="8">
        <f>3442.56+110.1825/1.18</f>
        <v>3535.9349999999999</v>
      </c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5" spans="1:11" x14ac:dyDescent="0.25">
      <c r="A25" s="18" t="s">
        <v>25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9" spans="1:11" ht="147" customHeight="1" x14ac:dyDescent="0.25">
      <c r="A29" s="14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</row>
  </sheetData>
  <mergeCells count="8">
    <mergeCell ref="A29:K29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topLeftCell="A2" zoomScale="95" zoomScaleNormal="100" zoomScaleSheetLayoutView="95" workbookViewId="0">
      <selection activeCell="I7" sqref="I7"/>
    </sheetView>
  </sheetViews>
  <sheetFormatPr defaultRowHeight="15" x14ac:dyDescent="0.25"/>
  <cols>
    <col min="2" max="2" width="30" customWidth="1"/>
    <col min="9" max="9" width="11.5703125" bestFit="1" customWidth="1"/>
  </cols>
  <sheetData>
    <row r="1" spans="1:16" ht="67.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7.5" customHeight="1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>
        <f>C7</f>
        <v>54</v>
      </c>
      <c r="D5" s="6"/>
      <c r="E5" s="6"/>
      <c r="F5" s="6">
        <f>F7</f>
        <v>745.3</v>
      </c>
      <c r="G5" s="6"/>
      <c r="H5" s="6"/>
      <c r="I5" s="8">
        <f>I7</f>
        <v>25.17</v>
      </c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6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35+19</f>
        <v>54</v>
      </c>
      <c r="D7" s="6"/>
      <c r="E7" s="6"/>
      <c r="F7" s="6">
        <f>504+241.3</f>
        <v>745.3</v>
      </c>
      <c r="G7" s="6"/>
      <c r="H7" s="6"/>
      <c r="I7" s="8">
        <f>16.314+8.856</f>
        <v>25.17</v>
      </c>
      <c r="J7" s="6"/>
      <c r="K7" s="6"/>
    </row>
    <row r="8" spans="1:16" x14ac:dyDescent="0.25">
      <c r="A8" s="12">
        <v>2</v>
      </c>
      <c r="B8" s="6" t="s">
        <v>11</v>
      </c>
      <c r="C8" s="6">
        <f>3+7</f>
        <v>10</v>
      </c>
      <c r="D8" s="6"/>
      <c r="E8" s="6"/>
      <c r="F8" s="6">
        <f>56+197.1</f>
        <v>253.1</v>
      </c>
      <c r="G8" s="6"/>
      <c r="H8" s="6"/>
      <c r="I8" s="8">
        <f>34.86+103.977</f>
        <v>138.83699999999999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>
        <v>1</v>
      </c>
      <c r="D11" s="6"/>
      <c r="E11" s="6"/>
      <c r="F11" s="6"/>
      <c r="G11" s="6">
        <v>733.3</v>
      </c>
      <c r="H11" s="6"/>
      <c r="I11" s="6">
        <v>3442.56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8"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" right="0.7" top="0.75" bottom="0.75" header="0.3" footer="0.3"/>
  <pageSetup paperSize="9" scale="7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topLeftCell="A2" zoomScale="95" zoomScaleNormal="100" zoomScaleSheetLayoutView="95" workbookViewId="0">
      <selection activeCell="D12" sqref="D12"/>
    </sheetView>
  </sheetViews>
  <sheetFormatPr defaultRowHeight="15" x14ac:dyDescent="0.25"/>
  <cols>
    <col min="2" max="2" width="30" customWidth="1"/>
    <col min="9" max="9" width="11.5703125" bestFit="1" customWidth="1"/>
  </cols>
  <sheetData>
    <row r="1" spans="1:16" ht="67.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7.5" customHeight="1" x14ac:dyDescent="0.25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>
        <f>C7</f>
        <v>72</v>
      </c>
      <c r="D5" s="6"/>
      <c r="E5" s="6"/>
      <c r="F5" s="6">
        <f>F7</f>
        <v>938.3</v>
      </c>
      <c r="G5" s="6"/>
      <c r="H5" s="6"/>
      <c r="I5" s="8">
        <f>I7</f>
        <v>33.559830508474576</v>
      </c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6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35+19+18</f>
        <v>72</v>
      </c>
      <c r="D7" s="6"/>
      <c r="E7" s="6"/>
      <c r="F7" s="6">
        <f>504+241.3+193</f>
        <v>938.3</v>
      </c>
      <c r="G7" s="6"/>
      <c r="H7" s="6"/>
      <c r="I7" s="8">
        <f>16.314+8.856+(0.55*18)/1.18</f>
        <v>33.559830508474576</v>
      </c>
      <c r="J7" s="6"/>
      <c r="K7" s="6"/>
    </row>
    <row r="8" spans="1:16" x14ac:dyDescent="0.25">
      <c r="A8" s="12">
        <v>2</v>
      </c>
      <c r="B8" s="6" t="s">
        <v>11</v>
      </c>
      <c r="C8" s="6">
        <f>3+7</f>
        <v>10</v>
      </c>
      <c r="D8" s="6"/>
      <c r="E8" s="6"/>
      <c r="F8" s="6">
        <f>56+197.1</f>
        <v>253.1</v>
      </c>
      <c r="G8" s="6"/>
      <c r="H8" s="6"/>
      <c r="I8" s="8">
        <f>34.86+103.977</f>
        <v>138.83699999999999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>
        <v>1</v>
      </c>
      <c r="D11" s="6"/>
      <c r="E11" s="6"/>
      <c r="F11" s="6"/>
      <c r="G11" s="6">
        <v>733.3</v>
      </c>
      <c r="H11" s="6"/>
      <c r="I11" s="6">
        <v>3442.56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8"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" right="0.7" top="0.75" bottom="0.75" header="0.3" footer="0.3"/>
  <pageSetup paperSize="9" scale="70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="95" zoomScaleNormal="100" zoomScaleSheetLayoutView="95" workbookViewId="0">
      <selection activeCell="C7" sqref="C7"/>
    </sheetView>
  </sheetViews>
  <sheetFormatPr defaultRowHeight="15" x14ac:dyDescent="0.25"/>
  <cols>
    <col min="2" max="2" width="30" customWidth="1"/>
    <col min="9" max="9" width="11.5703125" bestFit="1" customWidth="1"/>
  </cols>
  <sheetData>
    <row r="1" spans="1:16" ht="67.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7.5" customHeight="1" x14ac:dyDescent="0.25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>
        <f>C7</f>
        <v>84</v>
      </c>
      <c r="D5" s="6"/>
      <c r="E5" s="6"/>
      <c r="F5" s="6">
        <f>F7</f>
        <v>1101.8999999999999</v>
      </c>
      <c r="G5" s="6"/>
      <c r="H5" s="6"/>
      <c r="I5" s="8">
        <f>I7</f>
        <v>39.153050847457628</v>
      </c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6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35+19+18+12</f>
        <v>84</v>
      </c>
      <c r="D7" s="6"/>
      <c r="E7" s="6"/>
      <c r="F7" s="6">
        <f>504+241.3+193+163.6</f>
        <v>1101.8999999999999</v>
      </c>
      <c r="G7" s="6"/>
      <c r="H7" s="6"/>
      <c r="I7" s="8">
        <f>16.314+8.856+(0.55*18)/1.18+(0.55*12)/1.18</f>
        <v>39.153050847457628</v>
      </c>
      <c r="J7" s="6"/>
      <c r="K7" s="6"/>
    </row>
    <row r="8" spans="1:16" x14ac:dyDescent="0.25">
      <c r="A8" s="12">
        <v>2</v>
      </c>
      <c r="B8" s="6" t="s">
        <v>11</v>
      </c>
      <c r="C8" s="6">
        <f>3+7</f>
        <v>10</v>
      </c>
      <c r="D8" s="6"/>
      <c r="E8" s="6"/>
      <c r="F8" s="6">
        <f>56+197.1</f>
        <v>253.1</v>
      </c>
      <c r="G8" s="6"/>
      <c r="H8" s="6"/>
      <c r="I8" s="8">
        <f>34.86+103.977</f>
        <v>138.83699999999999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>
        <v>1</v>
      </c>
      <c r="D11" s="6"/>
      <c r="E11" s="6"/>
      <c r="F11" s="6"/>
      <c r="G11" s="6">
        <v>733.3</v>
      </c>
      <c r="H11" s="6"/>
      <c r="I11" s="6">
        <v>3442.56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8"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" right="0.7" top="0.75" bottom="0.75" header="0.3" footer="0.3"/>
  <pageSetup paperSize="9" scale="70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="95" zoomScaleNormal="100" zoomScaleSheetLayoutView="95" workbookViewId="0">
      <selection activeCell="I8" sqref="I8"/>
    </sheetView>
  </sheetViews>
  <sheetFormatPr defaultRowHeight="15" x14ac:dyDescent="0.25"/>
  <cols>
    <col min="2" max="2" width="30" customWidth="1"/>
    <col min="9" max="9" width="11.5703125" bestFit="1" customWidth="1"/>
  </cols>
  <sheetData>
    <row r="1" spans="1:16" ht="67.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7.5" customHeight="1" x14ac:dyDescent="0.25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>
        <f>C7</f>
        <v>88</v>
      </c>
      <c r="D5" s="6"/>
      <c r="E5" s="6"/>
      <c r="F5" s="6">
        <f>F7</f>
        <v>1155.8999999999999</v>
      </c>
      <c r="G5" s="6"/>
      <c r="H5" s="6"/>
      <c r="I5" s="8">
        <f>I7</f>
        <v>41.017457627118645</v>
      </c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6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35+19+18+12+4</f>
        <v>88</v>
      </c>
      <c r="D7" s="6"/>
      <c r="E7" s="6"/>
      <c r="F7" s="6">
        <f>504+241.3+193+163.6+54</f>
        <v>1155.8999999999999</v>
      </c>
      <c r="G7" s="6"/>
      <c r="H7" s="6"/>
      <c r="I7" s="8">
        <f>16.314+8.856+(0.55*18)/1.18+(0.55*12)/1.18+(0.55*4)/1.18</f>
        <v>41.017457627118645</v>
      </c>
      <c r="J7" s="6"/>
      <c r="K7" s="6"/>
    </row>
    <row r="8" spans="1:16" x14ac:dyDescent="0.25">
      <c r="A8" s="12">
        <v>2</v>
      </c>
      <c r="B8" s="6" t="s">
        <v>11</v>
      </c>
      <c r="C8" s="6">
        <f>3+7+1</f>
        <v>11</v>
      </c>
      <c r="D8" s="6"/>
      <c r="E8" s="6"/>
      <c r="F8" s="6">
        <f>56+197.1+40</f>
        <v>293.10000000000002</v>
      </c>
      <c r="G8" s="6"/>
      <c r="H8" s="6"/>
      <c r="I8" s="8">
        <f>34.86+103.977+58.764/1.18</f>
        <v>188.637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>
        <v>1</v>
      </c>
      <c r="D11" s="6"/>
      <c r="E11" s="6"/>
      <c r="F11" s="6"/>
      <c r="G11" s="6">
        <v>733.3</v>
      </c>
      <c r="H11" s="6"/>
      <c r="I11" s="6">
        <v>3442.56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8"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" right="0.7" top="0.75" bottom="0.75" header="0.3" footer="0.3"/>
  <pageSetup paperSize="9" scale="70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="95" zoomScaleNormal="100" zoomScaleSheetLayoutView="95" workbookViewId="0">
      <selection activeCell="I8" sqref="I8"/>
    </sheetView>
  </sheetViews>
  <sheetFormatPr defaultRowHeight="15" x14ac:dyDescent="0.25"/>
  <cols>
    <col min="2" max="2" width="30" customWidth="1"/>
    <col min="9" max="9" width="11.5703125" bestFit="1" customWidth="1"/>
  </cols>
  <sheetData>
    <row r="1" spans="1:16" ht="67.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7.5" customHeight="1" x14ac:dyDescent="0.25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>
        <f>C7</f>
        <v>100</v>
      </c>
      <c r="D5" s="6"/>
      <c r="E5" s="6"/>
      <c r="F5" s="6">
        <f>F7</f>
        <v>1334.9999999999998</v>
      </c>
      <c r="G5" s="6"/>
      <c r="H5" s="6"/>
      <c r="I5" s="8">
        <f>I7</f>
        <v>46.610677966101697</v>
      </c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6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35+19+18+12+4+12</f>
        <v>100</v>
      </c>
      <c r="D7" s="6"/>
      <c r="E7" s="6"/>
      <c r="F7" s="6">
        <f>504+241.3+193+163.6+54+179.1</f>
        <v>1334.9999999999998</v>
      </c>
      <c r="G7" s="6"/>
      <c r="H7" s="6"/>
      <c r="I7" s="8">
        <f>16.314+8.856+(0.55*18)/1.18+(0.55*12)/1.18+(0.55*4)/1.18+(0.55*12)/1.18</f>
        <v>46.610677966101697</v>
      </c>
      <c r="J7" s="6"/>
      <c r="K7" s="6"/>
    </row>
    <row r="8" spans="1:16" x14ac:dyDescent="0.25">
      <c r="A8" s="12">
        <v>2</v>
      </c>
      <c r="B8" s="6" t="s">
        <v>11</v>
      </c>
      <c r="C8" s="6">
        <f>3+7+1</f>
        <v>11</v>
      </c>
      <c r="D8" s="6"/>
      <c r="E8" s="6"/>
      <c r="F8" s="6">
        <f>56+197.1+40</f>
        <v>293.10000000000002</v>
      </c>
      <c r="G8" s="9"/>
      <c r="H8" s="6"/>
      <c r="I8" s="8">
        <f>34.86+103.977+58.764/1.18</f>
        <v>188.637</v>
      </c>
      <c r="J8" s="8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/>
      <c r="D11" s="6">
        <f>1+1</f>
        <v>2</v>
      </c>
      <c r="E11" s="6"/>
      <c r="F11" s="6"/>
      <c r="G11" s="6">
        <f>733.3+150</f>
        <v>883.3</v>
      </c>
      <c r="H11" s="6"/>
      <c r="I11" s="6"/>
      <c r="J11" s="8">
        <f>3442.56+110.1825/1.18</f>
        <v>3535.9349999999999</v>
      </c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20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8"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" right="0.7" top="0.75" bottom="0.75" header="0.3" footer="0.3"/>
  <pageSetup paperSize="9" scale="70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="95" zoomScaleNormal="100" zoomScaleSheetLayoutView="95" workbookViewId="0">
      <selection activeCell="I5" sqref="I5:J11"/>
    </sheetView>
  </sheetViews>
  <sheetFormatPr defaultRowHeight="15" x14ac:dyDescent="0.25"/>
  <cols>
    <col min="2" max="2" width="30" customWidth="1"/>
    <col min="9" max="9" width="11.5703125" bestFit="1" customWidth="1"/>
  </cols>
  <sheetData>
    <row r="1" spans="1:16" ht="67.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7.5" customHeight="1" x14ac:dyDescent="0.25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>
        <f>C7</f>
        <v>108</v>
      </c>
      <c r="D5" s="6"/>
      <c r="E5" s="6"/>
      <c r="F5" s="6">
        <f>F7</f>
        <v>1449.9999999999998</v>
      </c>
      <c r="G5" s="6"/>
      <c r="H5" s="6"/>
      <c r="I5" s="8">
        <f>I7</f>
        <v>50.339491525423732</v>
      </c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6"/>
      <c r="J6" s="6"/>
      <c r="K6" s="6"/>
      <c r="N6" s="18"/>
      <c r="O6" s="18"/>
      <c r="P6" s="18"/>
    </row>
    <row r="7" spans="1:16" x14ac:dyDescent="0.25">
      <c r="A7" s="6"/>
      <c r="B7" s="5" t="s">
        <v>10</v>
      </c>
      <c r="C7" s="6">
        <f>35+19+18+12+4+12+8</f>
        <v>108</v>
      </c>
      <c r="D7" s="6"/>
      <c r="E7" s="6"/>
      <c r="F7" s="6">
        <f>504+241.3+193+163.6+54+179.1+115</f>
        <v>1449.9999999999998</v>
      </c>
      <c r="G7" s="6"/>
      <c r="H7" s="6"/>
      <c r="I7" s="8">
        <f>16.314+8.856+(0.55*18)/1.18+(0.55*12)/1.18+(0.55*4)/1.18+(0.55*12)/1.18+(0.55*8)/1.18</f>
        <v>50.339491525423732</v>
      </c>
      <c r="J7" s="6"/>
      <c r="K7" s="6"/>
    </row>
    <row r="8" spans="1:16" x14ac:dyDescent="0.25">
      <c r="A8" s="12">
        <v>2</v>
      </c>
      <c r="B8" s="6" t="s">
        <v>11</v>
      </c>
      <c r="C8" s="6">
        <f>3+7+1</f>
        <v>11</v>
      </c>
      <c r="D8" s="6"/>
      <c r="E8" s="6"/>
      <c r="F8" s="6">
        <f>56+197.1+40</f>
        <v>293.10000000000002</v>
      </c>
      <c r="G8" s="9"/>
      <c r="H8" s="6"/>
      <c r="I8" s="8">
        <f>34.86+103.977+58.764/1.18</f>
        <v>188.637</v>
      </c>
      <c r="J8" s="8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>
        <v>1</v>
      </c>
      <c r="D11" s="6">
        <f>1+1</f>
        <v>2</v>
      </c>
      <c r="E11" s="6"/>
      <c r="F11" s="6">
        <v>300</v>
      </c>
      <c r="G11" s="6">
        <f>733.3+150</f>
        <v>883.3</v>
      </c>
      <c r="H11" s="6"/>
      <c r="I11" s="6">
        <f>220.365/1.18</f>
        <v>186.75000000000003</v>
      </c>
      <c r="J11" s="8">
        <f>3442.56+110.1825/1.18</f>
        <v>3535.9349999999999</v>
      </c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20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8"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" right="0.7" top="0.75" bottom="0.75" header="0.3" footer="0.3"/>
  <pageSetup paperSize="9" scale="70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9"/>
  <sheetViews>
    <sheetView workbookViewId="0">
      <selection activeCell="N29" sqref="N29"/>
    </sheetView>
  </sheetViews>
  <sheetFormatPr defaultRowHeight="15" x14ac:dyDescent="0.25"/>
  <cols>
    <col min="2" max="2" width="30" customWidth="1"/>
    <col min="9" max="9" width="11.5703125" bestFit="1" customWidth="1"/>
  </cols>
  <sheetData>
    <row r="1" spans="1:16" ht="82.5" customHeight="1" x14ac:dyDescent="0.2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76.5" customHeight="1" x14ac:dyDescent="0.25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7" t="s">
        <v>0</v>
      </c>
      <c r="D4" s="7" t="s">
        <v>1</v>
      </c>
      <c r="E4" s="7" t="s">
        <v>7</v>
      </c>
      <c r="F4" s="7" t="s">
        <v>0</v>
      </c>
      <c r="G4" s="7" t="s">
        <v>1</v>
      </c>
      <c r="H4" s="7" t="s">
        <v>7</v>
      </c>
      <c r="I4" s="7" t="s">
        <v>0</v>
      </c>
      <c r="J4" s="7" t="s">
        <v>1</v>
      </c>
      <c r="K4" s="7" t="s">
        <v>7</v>
      </c>
    </row>
    <row r="5" spans="1:16" x14ac:dyDescent="0.25">
      <c r="A5" s="7">
        <v>1</v>
      </c>
      <c r="B5" s="6" t="s">
        <v>8</v>
      </c>
      <c r="C5" s="6">
        <f>C7</f>
        <v>113</v>
      </c>
      <c r="D5" s="6"/>
      <c r="E5" s="6"/>
      <c r="F5" s="6">
        <f>F7</f>
        <v>1519.9999999999998</v>
      </c>
      <c r="G5" s="6"/>
      <c r="H5" s="6"/>
      <c r="I5" s="8">
        <f>I7</f>
        <v>52.67</v>
      </c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6"/>
      <c r="J6" s="6"/>
      <c r="K6" s="6"/>
    </row>
    <row r="7" spans="1:16" x14ac:dyDescent="0.25">
      <c r="A7" s="6"/>
      <c r="B7" s="5" t="s">
        <v>10</v>
      </c>
      <c r="C7" s="6">
        <f>35+19+18+12+4+12+8+5</f>
        <v>113</v>
      </c>
      <c r="D7" s="6"/>
      <c r="E7" s="6"/>
      <c r="F7" s="6">
        <f>504+241.3+193+163.6+54+179.1+115+70</f>
        <v>1519.9999999999998</v>
      </c>
      <c r="G7" s="6"/>
      <c r="H7" s="6"/>
      <c r="I7" s="8">
        <f>16.314+8.856+(0.55*18)/1.18+(0.55*12)/1.18+(0.55*4)/1.18+(0.55*12)/1.18+(0.55*8)/1.18+(0.55*5)/1.18</f>
        <v>52.67</v>
      </c>
      <c r="J7" s="6"/>
      <c r="K7" s="6"/>
      <c r="P7" t="s">
        <v>19</v>
      </c>
    </row>
    <row r="8" spans="1:16" x14ac:dyDescent="0.25">
      <c r="A8" s="7">
        <v>2</v>
      </c>
      <c r="B8" s="6" t="s">
        <v>11</v>
      </c>
      <c r="C8" s="6">
        <f>3+7+1+2</f>
        <v>13</v>
      </c>
      <c r="D8" s="6"/>
      <c r="E8" s="6"/>
      <c r="F8" s="6">
        <f>56+197.1+40+100</f>
        <v>393.1</v>
      </c>
      <c r="G8" s="9"/>
      <c r="H8" s="6"/>
      <c r="I8" s="8">
        <f>34.86+103.977+58.764/1.18+62.436/1.18</f>
        <v>241.54886440677967</v>
      </c>
      <c r="J8" s="8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7">
        <v>3</v>
      </c>
      <c r="B11" s="6" t="s">
        <v>13</v>
      </c>
      <c r="C11" s="6">
        <v>1</v>
      </c>
      <c r="D11" s="6">
        <f>1+1</f>
        <v>2</v>
      </c>
      <c r="E11" s="6"/>
      <c r="F11" s="6">
        <v>300</v>
      </c>
      <c r="G11" s="6">
        <f>733.3+150</f>
        <v>883.3</v>
      </c>
      <c r="H11" s="6"/>
      <c r="I11" s="6">
        <f>220.365/1.18</f>
        <v>186.75000000000003</v>
      </c>
      <c r="J11" s="8">
        <f>3442.56+110.1825/1.18</f>
        <v>3535.9349999999999</v>
      </c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5" spans="1:11" x14ac:dyDescent="0.25">
      <c r="A25" t="s">
        <v>21</v>
      </c>
    </row>
    <row r="29" spans="1:11" ht="147" customHeight="1" x14ac:dyDescent="0.25">
      <c r="A29" s="14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</row>
  </sheetData>
  <mergeCells count="7">
    <mergeCell ref="A29:K29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29"/>
  <sheetViews>
    <sheetView topLeftCell="A7" workbookViewId="0">
      <selection activeCell="F27" sqref="F27"/>
    </sheetView>
  </sheetViews>
  <sheetFormatPr defaultRowHeight="15" x14ac:dyDescent="0.25"/>
  <cols>
    <col min="2" max="2" width="30" customWidth="1"/>
    <col min="9" max="9" width="11.5703125" bestFit="1" customWidth="1"/>
  </cols>
  <sheetData>
    <row r="1" spans="1:16" ht="82.5" customHeight="1" x14ac:dyDescent="0.2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76.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6" t="s">
        <v>3</v>
      </c>
      <c r="B3" s="16"/>
      <c r="C3" s="16" t="s">
        <v>4</v>
      </c>
      <c r="D3" s="16"/>
      <c r="E3" s="16"/>
      <c r="F3" s="16" t="s">
        <v>5</v>
      </c>
      <c r="G3" s="16"/>
      <c r="H3" s="16"/>
      <c r="I3" s="16" t="s">
        <v>6</v>
      </c>
      <c r="J3" s="16"/>
      <c r="K3" s="16"/>
    </row>
    <row r="4" spans="1:16" ht="30" x14ac:dyDescent="0.25">
      <c r="A4" s="16"/>
      <c r="B4" s="16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>
        <f>C7</f>
        <v>121</v>
      </c>
      <c r="D5" s="6"/>
      <c r="E5" s="6"/>
      <c r="F5" s="6">
        <f>F7</f>
        <v>1639.9999999999998</v>
      </c>
      <c r="G5" s="6"/>
      <c r="H5" s="6"/>
      <c r="I5" s="8">
        <f>I7</f>
        <v>56.398813559322036</v>
      </c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6"/>
      <c r="J6" s="6"/>
      <c r="K6" s="6"/>
    </row>
    <row r="7" spans="1:16" x14ac:dyDescent="0.25">
      <c r="A7" s="6"/>
      <c r="B7" s="5" t="s">
        <v>10</v>
      </c>
      <c r="C7" s="6">
        <f>35+19+18+12+4+12+8+5+8</f>
        <v>121</v>
      </c>
      <c r="D7" s="6"/>
      <c r="E7" s="6"/>
      <c r="F7" s="6">
        <f>504+241.3+193+163.6+54+179.1+115+70+120</f>
        <v>1639.9999999999998</v>
      </c>
      <c r="G7" s="6"/>
      <c r="H7" s="6"/>
      <c r="I7" s="8">
        <f>16.314+8.856+(0.55*18)/1.18+(0.55*12)/1.18+(0.55*4)/1.18+(0.55*12)/1.18+(0.55*8)/1.18+(0.55*5)/1.18+(0.55*8)/1.18</f>
        <v>56.398813559322036</v>
      </c>
      <c r="J7" s="6"/>
      <c r="K7" s="6"/>
      <c r="P7" t="s">
        <v>19</v>
      </c>
    </row>
    <row r="8" spans="1:16" x14ac:dyDescent="0.25">
      <c r="A8" s="10">
        <v>2</v>
      </c>
      <c r="B8" s="6" t="s">
        <v>11</v>
      </c>
      <c r="C8" s="6">
        <f>3+7+1+2</f>
        <v>13</v>
      </c>
      <c r="D8" s="6">
        <v>1</v>
      </c>
      <c r="E8" s="6"/>
      <c r="F8" s="6">
        <f>56+197.1+40+100</f>
        <v>393.1</v>
      </c>
      <c r="G8" s="9">
        <v>100</v>
      </c>
      <c r="H8" s="6"/>
      <c r="I8" s="8">
        <f>34.86+103.977+58.764/1.18+62.436/1.18</f>
        <v>241.54886440677967</v>
      </c>
      <c r="J8" s="8">
        <f>73.455/1.18</f>
        <v>62.25</v>
      </c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>
        <v>1</v>
      </c>
      <c r="D11" s="6">
        <f>1+1</f>
        <v>2</v>
      </c>
      <c r="E11" s="6"/>
      <c r="F11" s="6">
        <v>300</v>
      </c>
      <c r="G11" s="6">
        <f>733.3+150</f>
        <v>883.3</v>
      </c>
      <c r="H11" s="6"/>
      <c r="I11" s="6">
        <f>220.365/1.18</f>
        <v>186.75000000000003</v>
      </c>
      <c r="J11" s="8">
        <f>3442.56+110.1825/1.18</f>
        <v>3535.9349999999999</v>
      </c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5" spans="1:11" x14ac:dyDescent="0.25">
      <c r="A25" s="18" t="s">
        <v>21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9" spans="1:11" ht="147" customHeight="1" x14ac:dyDescent="0.25">
      <c r="A29" s="14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</row>
  </sheetData>
  <mergeCells count="8">
    <mergeCell ref="A29:K29"/>
    <mergeCell ref="A1:K1"/>
    <mergeCell ref="A2:K2"/>
    <mergeCell ref="A3:B4"/>
    <mergeCell ref="C3:E3"/>
    <mergeCell ref="F3:H3"/>
    <mergeCell ref="I3:K3"/>
    <mergeCell ref="A25:K25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январь-март 2017</vt:lpstr>
      <vt:lpstr>январь-апрель 2017</vt:lpstr>
      <vt:lpstr>январь-май 2017</vt:lpstr>
      <vt:lpstr>январь-июнь 2017</vt:lpstr>
      <vt:lpstr>январь-июль 2017</vt:lpstr>
      <vt:lpstr>январь-август 2017</vt:lpstr>
      <vt:lpstr>январь-сентябрь 2017</vt:lpstr>
      <vt:lpstr>январь-октябрь 2017</vt:lpstr>
      <vt:lpstr>январь-ноябрь 2017</vt:lpstr>
      <vt:lpstr>январь-декабрь 2017</vt:lpstr>
      <vt:lpstr>'январь-август 2017'!Область_печати</vt:lpstr>
      <vt:lpstr>'январь-апрель 2017'!Область_печати</vt:lpstr>
      <vt:lpstr>'январь-июль 2017'!Область_печати</vt:lpstr>
      <vt:lpstr>'январь-июнь 2017'!Область_печати</vt:lpstr>
      <vt:lpstr>'январь-май 2017'!Область_печати</vt:lpstr>
      <vt:lpstr>'январь-март 2017'!Область_печати</vt:lpstr>
      <vt:lpstr>'январь-сентябрь 2017'!Область_печати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2018-01-10T05:25:55Z</dcterms:modified>
</cp:coreProperties>
</file>